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10吨以上" sheetId="8" r:id="rId1"/>
    <sheet name="100吨以上" sheetId="7" r:id="rId2"/>
    <sheet name="危废名单" sheetId="5" r:id="rId3"/>
    <sheet name="经营单位" sheetId="3" r:id="rId4"/>
  </sheets>
  <definedNames>
    <definedName name="_xlnm._FilterDatabase" localSheetId="1" hidden="1">'100吨以上'!$A$2:$C$2</definedName>
    <definedName name="_xlnm._FilterDatabase" localSheetId="0" hidden="1">'10吨以上'!$A$2:$C$2</definedName>
  </definedNames>
  <calcPr calcId="124519"/>
</workbook>
</file>

<file path=xl/calcChain.xml><?xml version="1.0" encoding="utf-8"?>
<calcChain xmlns="http://schemas.openxmlformats.org/spreadsheetml/2006/main">
  <c r="G3" i="5"/>
  <c r="H3"/>
  <c r="I3"/>
  <c r="J3"/>
  <c r="K3"/>
  <c r="L3"/>
  <c r="M3"/>
  <c r="N3"/>
  <c r="O3"/>
  <c r="G4"/>
  <c r="H4"/>
  <c r="I4"/>
  <c r="J4"/>
  <c r="K4"/>
  <c r="L4"/>
  <c r="M4"/>
  <c r="N4"/>
  <c r="O4"/>
  <c r="G5"/>
  <c r="H5"/>
  <c r="I5"/>
  <c r="J5"/>
  <c r="K5"/>
  <c r="L5"/>
  <c r="M5"/>
  <c r="N5"/>
  <c r="O5"/>
  <c r="G6"/>
  <c r="H6"/>
  <c r="I6"/>
  <c r="J6"/>
  <c r="K6"/>
  <c r="L6"/>
  <c r="M6"/>
  <c r="N6"/>
  <c r="O6"/>
  <c r="G7"/>
  <c r="H7"/>
  <c r="I7"/>
  <c r="J7"/>
  <c r="K7"/>
  <c r="L7"/>
  <c r="M7"/>
  <c r="N7"/>
  <c r="O7"/>
  <c r="G8"/>
  <c r="H8"/>
  <c r="I8"/>
  <c r="J8"/>
  <c r="K8"/>
  <c r="L8"/>
  <c r="M8"/>
  <c r="N8"/>
  <c r="O8"/>
  <c r="G9"/>
  <c r="H9"/>
  <c r="I9"/>
  <c r="J9"/>
  <c r="K9"/>
  <c r="L9"/>
  <c r="M9"/>
  <c r="N9"/>
  <c r="O9"/>
  <c r="G10"/>
  <c r="H10"/>
  <c r="I10"/>
  <c r="J10"/>
  <c r="K10"/>
  <c r="L10"/>
  <c r="M10"/>
  <c r="N10"/>
  <c r="O10"/>
  <c r="G11"/>
  <c r="H11"/>
  <c r="I11"/>
  <c r="J11"/>
  <c r="K11"/>
  <c r="L11"/>
  <c r="M11"/>
  <c r="N11"/>
  <c r="O11"/>
  <c r="G12"/>
  <c r="H12"/>
  <c r="I12"/>
  <c r="J12"/>
  <c r="K12"/>
  <c r="L12"/>
  <c r="M12"/>
  <c r="N12"/>
  <c r="O12"/>
  <c r="G13"/>
  <c r="H13"/>
  <c r="I13"/>
  <c r="J13"/>
  <c r="K13"/>
  <c r="L13"/>
  <c r="M13"/>
  <c r="N13"/>
  <c r="O13"/>
  <c r="G14"/>
  <c r="H14"/>
  <c r="I14"/>
  <c r="J14"/>
  <c r="K14"/>
  <c r="L14"/>
  <c r="M14"/>
  <c r="N14"/>
  <c r="O14"/>
  <c r="G15"/>
  <c r="H15"/>
  <c r="I15"/>
  <c r="J15"/>
  <c r="K15"/>
  <c r="L15"/>
  <c r="M15"/>
  <c r="N15"/>
  <c r="O15"/>
  <c r="G16"/>
  <c r="H16"/>
  <c r="I16"/>
  <c r="J16"/>
  <c r="K16"/>
  <c r="L16"/>
  <c r="M16"/>
  <c r="N16"/>
  <c r="O16"/>
  <c r="G17"/>
  <c r="H17"/>
  <c r="I17"/>
  <c r="J17"/>
  <c r="K17"/>
  <c r="L17"/>
  <c r="M17"/>
  <c r="N17"/>
  <c r="O17"/>
  <c r="G18"/>
  <c r="H18"/>
  <c r="I18"/>
  <c r="J18"/>
  <c r="K18"/>
  <c r="L18"/>
  <c r="M18"/>
  <c r="N18"/>
  <c r="O18"/>
  <c r="G19"/>
  <c r="H19"/>
  <c r="I19"/>
  <c r="J19"/>
  <c r="K19"/>
  <c r="L19"/>
  <c r="M19"/>
  <c r="N19"/>
  <c r="O19"/>
  <c r="G20"/>
  <c r="H20"/>
  <c r="I20"/>
  <c r="J20"/>
  <c r="K20"/>
  <c r="L20"/>
  <c r="M20"/>
  <c r="N20"/>
  <c r="O20"/>
  <c r="G21"/>
  <c r="H21"/>
  <c r="I21"/>
  <c r="J21"/>
  <c r="K21"/>
  <c r="L21"/>
  <c r="M21"/>
  <c r="N21"/>
  <c r="O21"/>
  <c r="G22"/>
  <c r="H22"/>
  <c r="I22"/>
  <c r="J22"/>
  <c r="K22"/>
  <c r="L22"/>
  <c r="M22"/>
  <c r="N22"/>
  <c r="O22"/>
  <c r="G23"/>
  <c r="H23"/>
  <c r="I23"/>
  <c r="J23"/>
  <c r="K23"/>
  <c r="L23"/>
  <c r="M23"/>
  <c r="N23"/>
  <c r="O23"/>
  <c r="G24"/>
  <c r="H24"/>
  <c r="I24"/>
  <c r="J24"/>
  <c r="K24"/>
  <c r="L24"/>
  <c r="M24"/>
  <c r="N24"/>
  <c r="O24"/>
  <c r="G25"/>
  <c r="H25"/>
  <c r="I25"/>
  <c r="J25"/>
  <c r="K25"/>
  <c r="L25"/>
  <c r="M25"/>
  <c r="N25"/>
  <c r="O25"/>
  <c r="G26"/>
  <c r="H26"/>
  <c r="I26"/>
  <c r="J26"/>
  <c r="K26"/>
  <c r="L26"/>
  <c r="M26"/>
  <c r="N26"/>
  <c r="O26"/>
  <c r="G27"/>
  <c r="H27"/>
  <c r="I27"/>
  <c r="J27"/>
  <c r="K27"/>
  <c r="L27"/>
  <c r="M27"/>
  <c r="N27"/>
  <c r="O27"/>
  <c r="G28"/>
  <c r="H28"/>
  <c r="I28"/>
  <c r="J28"/>
  <c r="K28"/>
  <c r="L28"/>
  <c r="M28"/>
  <c r="N28"/>
  <c r="O28"/>
  <c r="G29"/>
  <c r="H29"/>
  <c r="I29"/>
  <c r="J29"/>
  <c r="K29"/>
  <c r="L29"/>
  <c r="M29"/>
  <c r="N29"/>
  <c r="O29"/>
  <c r="G30"/>
  <c r="H30"/>
  <c r="I30"/>
  <c r="J30"/>
  <c r="K30"/>
  <c r="L30"/>
  <c r="M30"/>
  <c r="N30"/>
  <c r="O30"/>
  <c r="G31"/>
  <c r="H31"/>
  <c r="I31"/>
  <c r="J31"/>
  <c r="K31"/>
  <c r="L31"/>
  <c r="M31"/>
  <c r="N31"/>
  <c r="O31"/>
  <c r="G32"/>
  <c r="H32"/>
  <c r="I32"/>
  <c r="J32"/>
  <c r="K32"/>
  <c r="L32"/>
  <c r="M32"/>
  <c r="N32"/>
  <c r="O32"/>
  <c r="G33"/>
  <c r="H33"/>
  <c r="I33"/>
  <c r="J33"/>
  <c r="K33"/>
  <c r="L33"/>
  <c r="M33"/>
  <c r="N33"/>
  <c r="O33"/>
  <c r="G34"/>
  <c r="H34"/>
  <c r="I34"/>
  <c r="J34"/>
  <c r="K34"/>
  <c r="L34"/>
  <c r="M34"/>
  <c r="N34"/>
  <c r="O34"/>
  <c r="G35"/>
  <c r="H35"/>
  <c r="I35"/>
  <c r="J35"/>
  <c r="K35"/>
  <c r="L35"/>
  <c r="M35"/>
  <c r="N35"/>
  <c r="O35"/>
  <c r="G36"/>
  <c r="H36"/>
  <c r="I36"/>
  <c r="J36"/>
  <c r="K36"/>
  <c r="L36"/>
  <c r="M36"/>
  <c r="N36"/>
  <c r="O36"/>
  <c r="G37"/>
  <c r="H37"/>
  <c r="I37"/>
  <c r="J37"/>
  <c r="K37"/>
  <c r="L37"/>
  <c r="M37"/>
  <c r="N37"/>
  <c r="O37"/>
  <c r="G38"/>
  <c r="H38"/>
  <c r="I38"/>
  <c r="J38"/>
  <c r="K38"/>
  <c r="L38"/>
  <c r="M38"/>
  <c r="N38"/>
  <c r="O38"/>
  <c r="G39"/>
  <c r="H39"/>
  <c r="I39"/>
  <c r="J39"/>
  <c r="K39"/>
  <c r="L39"/>
  <c r="M39"/>
  <c r="N39"/>
  <c r="O39"/>
  <c r="G40"/>
  <c r="H40"/>
  <c r="I40"/>
  <c r="J40"/>
  <c r="K40"/>
  <c r="L40"/>
  <c r="M40"/>
  <c r="N40"/>
  <c r="O40"/>
  <c r="G41"/>
  <c r="H41"/>
  <c r="I41"/>
  <c r="J41"/>
  <c r="K41"/>
  <c r="L41"/>
  <c r="M41"/>
  <c r="N41"/>
  <c r="O41"/>
  <c r="G42"/>
  <c r="H42"/>
  <c r="I42"/>
  <c r="J42"/>
  <c r="K42"/>
  <c r="L42"/>
  <c r="M42"/>
  <c r="N42"/>
  <c r="O42"/>
  <c r="G43"/>
  <c r="H43"/>
  <c r="I43"/>
  <c r="J43"/>
  <c r="K43"/>
  <c r="L43"/>
  <c r="M43"/>
  <c r="N43"/>
  <c r="O43"/>
  <c r="G44"/>
  <c r="H44"/>
  <c r="I44"/>
  <c r="J44"/>
  <c r="K44"/>
  <c r="L44"/>
  <c r="M44"/>
  <c r="N44"/>
  <c r="O44"/>
  <c r="G45"/>
  <c r="H45"/>
  <c r="I45"/>
  <c r="J45"/>
  <c r="K45"/>
  <c r="L45"/>
  <c r="M45"/>
  <c r="N45"/>
  <c r="O45"/>
  <c r="G46"/>
  <c r="H46"/>
  <c r="I46"/>
  <c r="J46"/>
  <c r="K46"/>
  <c r="L46"/>
  <c r="M46"/>
  <c r="N46"/>
  <c r="O46"/>
  <c r="G47"/>
  <c r="H47"/>
  <c r="I47"/>
  <c r="J47"/>
  <c r="K47"/>
  <c r="L47"/>
  <c r="M47"/>
  <c r="N47"/>
  <c r="O47"/>
  <c r="G48"/>
  <c r="H48"/>
  <c r="I48"/>
  <c r="J48"/>
  <c r="K48"/>
  <c r="L48"/>
  <c r="M48"/>
  <c r="N48"/>
  <c r="O48"/>
  <c r="G49"/>
  <c r="H49"/>
  <c r="I49"/>
  <c r="J49"/>
  <c r="K49"/>
  <c r="L49"/>
  <c r="M49"/>
  <c r="N49"/>
  <c r="O49"/>
  <c r="G50"/>
  <c r="H50"/>
  <c r="I50"/>
  <c r="J50"/>
  <c r="K50"/>
  <c r="L50"/>
  <c r="M50"/>
  <c r="N50"/>
  <c r="O50"/>
  <c r="G51"/>
  <c r="H51"/>
  <c r="I51"/>
  <c r="J51"/>
  <c r="K51"/>
  <c r="L51"/>
  <c r="M51"/>
  <c r="N51"/>
  <c r="O51"/>
  <c r="G52"/>
  <c r="H52"/>
  <c r="I52"/>
  <c r="J52"/>
  <c r="K52"/>
  <c r="L52"/>
  <c r="M52"/>
  <c r="N52"/>
  <c r="O52"/>
  <c r="G53"/>
  <c r="H53"/>
  <c r="I53"/>
  <c r="J53"/>
  <c r="K53"/>
  <c r="L53"/>
  <c r="M53"/>
  <c r="N53"/>
  <c r="O53"/>
  <c r="G54"/>
  <c r="H54"/>
  <c r="I54"/>
  <c r="J54"/>
  <c r="K54"/>
  <c r="L54"/>
  <c r="M54"/>
  <c r="N54"/>
  <c r="O54"/>
  <c r="G55"/>
  <c r="H55"/>
  <c r="I55"/>
  <c r="J55"/>
  <c r="K55"/>
  <c r="L55"/>
  <c r="M55"/>
  <c r="N55"/>
  <c r="O55"/>
  <c r="G56"/>
  <c r="H56"/>
  <c r="I56"/>
  <c r="J56"/>
  <c r="K56"/>
  <c r="L56"/>
  <c r="M56"/>
  <c r="N56"/>
  <c r="O56"/>
  <c r="G57"/>
  <c r="H57"/>
  <c r="I57"/>
  <c r="J57"/>
  <c r="K57"/>
  <c r="L57"/>
  <c r="M57"/>
  <c r="N57"/>
  <c r="O57"/>
  <c r="G58"/>
  <c r="H58"/>
  <c r="I58"/>
  <c r="J58"/>
  <c r="K58"/>
  <c r="L58"/>
  <c r="M58"/>
  <c r="N58"/>
  <c r="O58"/>
  <c r="G59"/>
  <c r="H59"/>
  <c r="I59"/>
  <c r="J59"/>
  <c r="K59"/>
  <c r="L59"/>
  <c r="M59"/>
  <c r="N59"/>
  <c r="O59"/>
  <c r="G60"/>
  <c r="H60"/>
  <c r="I60"/>
  <c r="J60"/>
  <c r="K60"/>
  <c r="L60"/>
  <c r="M60"/>
  <c r="N60"/>
  <c r="O60"/>
  <c r="G61"/>
  <c r="H61"/>
  <c r="I61"/>
  <c r="J61"/>
  <c r="K61"/>
  <c r="L61"/>
  <c r="M61"/>
  <c r="N61"/>
  <c r="O61"/>
  <c r="G62"/>
  <c r="H62"/>
  <c r="I62"/>
  <c r="J62"/>
  <c r="K62"/>
  <c r="L62"/>
  <c r="M62"/>
  <c r="N62"/>
  <c r="O62"/>
  <c r="G63"/>
  <c r="H63"/>
  <c r="I63"/>
  <c r="J63"/>
  <c r="K63"/>
  <c r="L63"/>
  <c r="M63"/>
  <c r="N63"/>
  <c r="O63"/>
  <c r="G64"/>
  <c r="H64"/>
  <c r="I64"/>
  <c r="J64"/>
  <c r="K64"/>
  <c r="L64"/>
  <c r="M64"/>
  <c r="N64"/>
  <c r="O64"/>
  <c r="G65"/>
  <c r="H65"/>
  <c r="I65"/>
  <c r="J65"/>
  <c r="K65"/>
  <c r="L65"/>
  <c r="M65"/>
  <c r="N65"/>
  <c r="O65"/>
  <c r="G66"/>
  <c r="H66"/>
  <c r="I66"/>
  <c r="J66"/>
  <c r="K66"/>
  <c r="L66"/>
  <c r="M66"/>
  <c r="N66"/>
  <c r="O66"/>
  <c r="G67"/>
  <c r="H67"/>
  <c r="I67"/>
  <c r="J67"/>
  <c r="K67"/>
  <c r="L67"/>
  <c r="M67"/>
  <c r="N67"/>
  <c r="O67"/>
  <c r="G68"/>
  <c r="H68"/>
  <c r="I68"/>
  <c r="J68"/>
  <c r="K68"/>
  <c r="L68"/>
  <c r="M68"/>
  <c r="N68"/>
  <c r="O68"/>
  <c r="G69"/>
  <c r="H69"/>
  <c r="I69"/>
  <c r="J69"/>
  <c r="K69"/>
  <c r="L69"/>
  <c r="M69"/>
  <c r="N69"/>
  <c r="O69"/>
  <c r="G70"/>
  <c r="H70"/>
  <c r="I70"/>
  <c r="J70"/>
  <c r="K70"/>
  <c r="L70"/>
  <c r="M70"/>
  <c r="N70"/>
  <c r="O70"/>
  <c r="G71"/>
  <c r="H71"/>
  <c r="I71"/>
  <c r="J71"/>
  <c r="K71"/>
  <c r="L71"/>
  <c r="M71"/>
  <c r="N71"/>
  <c r="O71"/>
  <c r="G72"/>
  <c r="H72"/>
  <c r="I72"/>
  <c r="J72"/>
  <c r="K72"/>
  <c r="L72"/>
  <c r="M72"/>
  <c r="N72"/>
  <c r="O72"/>
  <c r="G73"/>
  <c r="H73"/>
  <c r="I73"/>
  <c r="J73"/>
  <c r="K73"/>
  <c r="L73"/>
  <c r="M73"/>
  <c r="N73"/>
  <c r="O73"/>
  <c r="G74"/>
  <c r="H74"/>
  <c r="I74"/>
  <c r="J74"/>
  <c r="K74"/>
  <c r="L74"/>
  <c r="M74"/>
  <c r="N74"/>
  <c r="O74"/>
  <c r="G75"/>
  <c r="H75"/>
  <c r="I75"/>
  <c r="J75"/>
  <c r="K75"/>
  <c r="L75"/>
  <c r="M75"/>
  <c r="N75"/>
  <c r="O75"/>
  <c r="G76"/>
  <c r="H76"/>
  <c r="I76"/>
  <c r="J76"/>
  <c r="K76"/>
  <c r="L76"/>
  <c r="M76"/>
  <c r="N76"/>
  <c r="O76"/>
  <c r="G77"/>
  <c r="H77"/>
  <c r="I77"/>
  <c r="J77"/>
  <c r="K77"/>
  <c r="L77"/>
  <c r="M77"/>
  <c r="N77"/>
  <c r="O77"/>
  <c r="G78"/>
  <c r="H78"/>
  <c r="I78"/>
  <c r="J78"/>
  <c r="K78"/>
  <c r="L78"/>
  <c r="M78"/>
  <c r="N78"/>
  <c r="O78"/>
  <c r="G79"/>
  <c r="H79"/>
  <c r="I79"/>
  <c r="J79"/>
  <c r="K79"/>
  <c r="L79"/>
  <c r="M79"/>
  <c r="N79"/>
  <c r="O79"/>
  <c r="G80"/>
  <c r="H80"/>
  <c r="I80"/>
  <c r="J80"/>
  <c r="K80"/>
  <c r="L80"/>
  <c r="M80"/>
  <c r="N80"/>
  <c r="O80"/>
  <c r="G81"/>
  <c r="H81"/>
  <c r="I81"/>
  <c r="J81"/>
  <c r="K81"/>
  <c r="L81"/>
  <c r="M81"/>
  <c r="N81"/>
  <c r="O81"/>
  <c r="G82"/>
  <c r="H82"/>
  <c r="I82"/>
  <c r="J82"/>
  <c r="K82"/>
  <c r="L82"/>
  <c r="M82"/>
  <c r="N82"/>
  <c r="O82"/>
  <c r="G83"/>
  <c r="H83"/>
  <c r="I83"/>
  <c r="J83"/>
  <c r="K83"/>
  <c r="L83"/>
  <c r="M83"/>
  <c r="N83"/>
  <c r="O83"/>
  <c r="G84"/>
  <c r="H84"/>
  <c r="I84"/>
  <c r="J84"/>
  <c r="K84"/>
  <c r="L84"/>
  <c r="M84"/>
  <c r="N84"/>
  <c r="O84"/>
  <c r="G85"/>
  <c r="H85"/>
  <c r="I85"/>
  <c r="J85"/>
  <c r="K85"/>
  <c r="L85"/>
  <c r="M85"/>
  <c r="N85"/>
  <c r="O85"/>
  <c r="G86"/>
  <c r="H86"/>
  <c r="I86"/>
  <c r="J86"/>
  <c r="K86"/>
  <c r="L86"/>
  <c r="M86"/>
  <c r="N86"/>
  <c r="O86"/>
  <c r="G87"/>
  <c r="H87"/>
  <c r="I87"/>
  <c r="J87"/>
  <c r="K87"/>
  <c r="L87"/>
  <c r="M87"/>
  <c r="N87"/>
  <c r="O87"/>
  <c r="G88"/>
  <c r="H88"/>
  <c r="I88"/>
  <c r="J88"/>
  <c r="K88"/>
  <c r="L88"/>
  <c r="M88"/>
  <c r="N88"/>
  <c r="O88"/>
  <c r="G89"/>
  <c r="H89"/>
  <c r="I89"/>
  <c r="J89"/>
  <c r="K89"/>
  <c r="L89"/>
  <c r="M89"/>
  <c r="N89"/>
  <c r="O89"/>
  <c r="G90"/>
  <c r="H90"/>
  <c r="I90"/>
  <c r="J90"/>
  <c r="K90"/>
  <c r="L90"/>
  <c r="M90"/>
  <c r="N90"/>
  <c r="O90"/>
  <c r="G91"/>
  <c r="H91"/>
  <c r="I91"/>
  <c r="J91"/>
  <c r="K91"/>
  <c r="L91"/>
  <c r="M91"/>
  <c r="N91"/>
  <c r="O91"/>
  <c r="G92"/>
  <c r="H92"/>
  <c r="I92"/>
  <c r="J92"/>
  <c r="K92"/>
  <c r="L92"/>
  <c r="M92"/>
  <c r="N92"/>
  <c r="O92"/>
  <c r="G93"/>
  <c r="H93"/>
  <c r="I93"/>
  <c r="J93"/>
  <c r="K93"/>
  <c r="L93"/>
  <c r="M93"/>
  <c r="N93"/>
  <c r="O93"/>
  <c r="G94"/>
  <c r="H94"/>
  <c r="I94"/>
  <c r="J94"/>
  <c r="K94"/>
  <c r="L94"/>
  <c r="M94"/>
  <c r="N94"/>
  <c r="O94"/>
  <c r="G95"/>
  <c r="H95"/>
  <c r="I95"/>
  <c r="J95"/>
  <c r="K95"/>
  <c r="L95"/>
  <c r="M95"/>
  <c r="N95"/>
  <c r="O95"/>
  <c r="G96"/>
  <c r="H96"/>
  <c r="I96"/>
  <c r="J96"/>
  <c r="K96"/>
  <c r="L96"/>
  <c r="M96"/>
  <c r="N96"/>
  <c r="O96"/>
  <c r="G97"/>
  <c r="H97"/>
  <c r="I97"/>
  <c r="J97"/>
  <c r="K97"/>
  <c r="L97"/>
  <c r="M97"/>
  <c r="N97"/>
  <c r="O97"/>
  <c r="G98"/>
  <c r="H98"/>
  <c r="I98"/>
  <c r="J98"/>
  <c r="K98"/>
  <c r="L98"/>
  <c r="M98"/>
  <c r="N98"/>
  <c r="O98"/>
  <c r="G99"/>
  <c r="H99"/>
  <c r="I99"/>
  <c r="J99"/>
  <c r="K99"/>
  <c r="L99"/>
  <c r="M99"/>
  <c r="N99"/>
  <c r="O99"/>
  <c r="G100"/>
  <c r="H100"/>
  <c r="I100"/>
  <c r="J100"/>
  <c r="K100"/>
  <c r="L100"/>
  <c r="M100"/>
  <c r="N100"/>
  <c r="O100"/>
  <c r="G101"/>
  <c r="H101"/>
  <c r="I101"/>
  <c r="J101"/>
  <c r="K101"/>
  <c r="L101"/>
  <c r="M101"/>
  <c r="N101"/>
  <c r="O101"/>
  <c r="G102"/>
  <c r="H102"/>
  <c r="I102"/>
  <c r="J102"/>
  <c r="K102"/>
  <c r="L102"/>
  <c r="M102"/>
  <c r="N102"/>
  <c r="O102"/>
  <c r="G103"/>
  <c r="H103"/>
  <c r="I103"/>
  <c r="J103"/>
  <c r="K103"/>
  <c r="L103"/>
  <c r="M103"/>
  <c r="N103"/>
  <c r="O103"/>
  <c r="G104"/>
  <c r="H104"/>
  <c r="I104"/>
  <c r="J104"/>
  <c r="K104"/>
  <c r="L104"/>
  <c r="M104"/>
  <c r="N104"/>
  <c r="O104"/>
  <c r="G105"/>
  <c r="H105"/>
  <c r="I105"/>
  <c r="J105"/>
  <c r="K105"/>
  <c r="L105"/>
  <c r="M105"/>
  <c r="N105"/>
  <c r="O105"/>
  <c r="G106"/>
  <c r="H106"/>
  <c r="I106"/>
  <c r="J106"/>
  <c r="K106"/>
  <c r="L106"/>
  <c r="M106"/>
  <c r="N106"/>
  <c r="O106"/>
  <c r="G107"/>
  <c r="H107"/>
  <c r="I107"/>
  <c r="J107"/>
  <c r="K107"/>
  <c r="L107"/>
  <c r="M107"/>
  <c r="N107"/>
  <c r="O107"/>
  <c r="G108"/>
  <c r="H108"/>
  <c r="I108"/>
  <c r="J108"/>
  <c r="K108"/>
  <c r="L108"/>
  <c r="M108"/>
  <c r="N108"/>
  <c r="O108"/>
  <c r="G109"/>
  <c r="H109"/>
  <c r="I109"/>
  <c r="J109"/>
  <c r="K109"/>
  <c r="L109"/>
  <c r="M109"/>
  <c r="N109"/>
  <c r="O109"/>
  <c r="G110"/>
  <c r="H110"/>
  <c r="I110"/>
  <c r="J110"/>
  <c r="K110"/>
  <c r="L110"/>
  <c r="M110"/>
  <c r="N110"/>
  <c r="O110"/>
  <c r="G111"/>
  <c r="H111"/>
  <c r="I111"/>
  <c r="J111"/>
  <c r="K111"/>
  <c r="L111"/>
  <c r="M111"/>
  <c r="N111"/>
  <c r="O111"/>
  <c r="G112"/>
  <c r="H112"/>
  <c r="I112"/>
  <c r="J112"/>
  <c r="K112"/>
  <c r="L112"/>
  <c r="M112"/>
  <c r="N112"/>
  <c r="O112"/>
  <c r="G113"/>
  <c r="H113"/>
  <c r="I113"/>
  <c r="J113"/>
  <c r="K113"/>
  <c r="L113"/>
  <c r="M113"/>
  <c r="N113"/>
  <c r="O113"/>
  <c r="G114"/>
  <c r="H114"/>
  <c r="I114"/>
  <c r="J114"/>
  <c r="K114"/>
  <c r="L114"/>
  <c r="M114"/>
  <c r="N114"/>
  <c r="O114"/>
  <c r="G115"/>
  <c r="H115"/>
  <c r="I115"/>
  <c r="J115"/>
  <c r="K115"/>
  <c r="L115"/>
  <c r="M115"/>
  <c r="N115"/>
  <c r="O115"/>
  <c r="G116"/>
  <c r="H116"/>
  <c r="I116"/>
  <c r="J116"/>
  <c r="K116"/>
  <c r="L116"/>
  <c r="M116"/>
  <c r="N116"/>
  <c r="O116"/>
  <c r="G117"/>
  <c r="H117"/>
  <c r="I117"/>
  <c r="J117"/>
  <c r="K117"/>
  <c r="L117"/>
  <c r="M117"/>
  <c r="N117"/>
  <c r="O117"/>
  <c r="G118"/>
  <c r="H118"/>
  <c r="I118"/>
  <c r="J118"/>
  <c r="K118"/>
  <c r="L118"/>
  <c r="M118"/>
  <c r="N118"/>
  <c r="O118"/>
  <c r="G119"/>
  <c r="H119"/>
  <c r="I119"/>
  <c r="J119"/>
  <c r="K119"/>
  <c r="L119"/>
  <c r="M119"/>
  <c r="N119"/>
  <c r="O119"/>
  <c r="G120"/>
  <c r="H120"/>
  <c r="I120"/>
  <c r="J120"/>
  <c r="K120"/>
  <c r="L120"/>
  <c r="M120"/>
  <c r="N120"/>
  <c r="O120"/>
  <c r="G121"/>
  <c r="H121"/>
  <c r="I121"/>
  <c r="J121"/>
  <c r="K121"/>
  <c r="L121"/>
  <c r="M121"/>
  <c r="N121"/>
  <c r="O121"/>
  <c r="G122"/>
  <c r="H122"/>
  <c r="I122"/>
  <c r="J122"/>
  <c r="K122"/>
  <c r="L122"/>
  <c r="M122"/>
  <c r="N122"/>
  <c r="O122"/>
  <c r="G123"/>
  <c r="H123"/>
  <c r="I123"/>
  <c r="J123"/>
  <c r="K123"/>
  <c r="L123"/>
  <c r="M123"/>
  <c r="N123"/>
  <c r="O123"/>
  <c r="G124"/>
  <c r="H124"/>
  <c r="I124"/>
  <c r="J124"/>
  <c r="K124"/>
  <c r="L124"/>
  <c r="M124"/>
  <c r="N124"/>
  <c r="O124"/>
  <c r="G125"/>
  <c r="H125"/>
  <c r="I125"/>
  <c r="J125"/>
  <c r="K125"/>
  <c r="L125"/>
  <c r="M125"/>
  <c r="N125"/>
  <c r="O125"/>
  <c r="G126"/>
  <c r="H126"/>
  <c r="I126"/>
  <c r="J126"/>
  <c r="K126"/>
  <c r="L126"/>
  <c r="M126"/>
  <c r="N126"/>
  <c r="O126"/>
  <c r="G127"/>
  <c r="H127"/>
  <c r="I127"/>
  <c r="J127"/>
  <c r="K127"/>
  <c r="L127"/>
  <c r="M127"/>
  <c r="N127"/>
  <c r="O127"/>
  <c r="G128"/>
  <c r="H128"/>
  <c r="I128"/>
  <c r="J128"/>
  <c r="K128"/>
  <c r="L128"/>
  <c r="M128"/>
  <c r="N128"/>
  <c r="O128"/>
  <c r="G129"/>
  <c r="H129"/>
  <c r="I129"/>
  <c r="J129"/>
  <c r="K129"/>
  <c r="L129"/>
  <c r="M129"/>
  <c r="N129"/>
  <c r="O129"/>
  <c r="G130"/>
  <c r="H130"/>
  <c r="I130"/>
  <c r="J130"/>
  <c r="K130"/>
  <c r="L130"/>
  <c r="M130"/>
  <c r="N130"/>
  <c r="O130"/>
  <c r="G131"/>
  <c r="H131"/>
  <c r="I131"/>
  <c r="J131"/>
  <c r="K131"/>
  <c r="L131"/>
  <c r="M131"/>
  <c r="N131"/>
  <c r="O131"/>
  <c r="G132"/>
  <c r="H132"/>
  <c r="I132"/>
  <c r="J132"/>
  <c r="K132"/>
  <c r="L132"/>
  <c r="M132"/>
  <c r="N132"/>
  <c r="O132"/>
  <c r="G133"/>
  <c r="H133"/>
  <c r="I133"/>
  <c r="J133"/>
  <c r="K133"/>
  <c r="L133"/>
  <c r="M133"/>
  <c r="N133"/>
  <c r="O133"/>
  <c r="G134"/>
  <c r="H134"/>
  <c r="I134"/>
  <c r="J134"/>
  <c r="K134"/>
  <c r="L134"/>
  <c r="M134"/>
  <c r="N134"/>
  <c r="O134"/>
  <c r="G135"/>
  <c r="H135"/>
  <c r="I135"/>
  <c r="J135"/>
  <c r="K135"/>
  <c r="L135"/>
  <c r="M135"/>
  <c r="N135"/>
  <c r="O135"/>
  <c r="G136"/>
  <c r="H136"/>
  <c r="I136"/>
  <c r="J136"/>
  <c r="K136"/>
  <c r="L136"/>
  <c r="M136"/>
  <c r="N136"/>
  <c r="O136"/>
  <c r="G137"/>
  <c r="H137"/>
  <c r="I137"/>
  <c r="J137"/>
  <c r="K137"/>
  <c r="L137"/>
  <c r="M137"/>
  <c r="N137"/>
  <c r="O137"/>
  <c r="G138"/>
  <c r="H138"/>
  <c r="I138"/>
  <c r="J138"/>
  <c r="K138"/>
  <c r="L138"/>
  <c r="M138"/>
  <c r="N138"/>
  <c r="O138"/>
  <c r="G139"/>
  <c r="H139"/>
  <c r="I139"/>
  <c r="J139"/>
  <c r="K139"/>
  <c r="L139"/>
  <c r="M139"/>
  <c r="N139"/>
  <c r="O139"/>
  <c r="G140"/>
  <c r="H140"/>
  <c r="I140"/>
  <c r="J140"/>
  <c r="K140"/>
  <c r="L140"/>
  <c r="M140"/>
  <c r="N140"/>
  <c r="O140"/>
  <c r="G141"/>
  <c r="H141"/>
  <c r="I141"/>
  <c r="J141"/>
  <c r="K141"/>
  <c r="L141"/>
  <c r="M141"/>
  <c r="N141"/>
  <c r="O141"/>
  <c r="G142"/>
  <c r="H142"/>
  <c r="I142"/>
  <c r="J142"/>
  <c r="K142"/>
  <c r="L142"/>
  <c r="M142"/>
  <c r="N142"/>
  <c r="O142"/>
  <c r="G143"/>
  <c r="H143"/>
  <c r="I143"/>
  <c r="J143"/>
  <c r="K143"/>
  <c r="L143"/>
  <c r="M143"/>
  <c r="N143"/>
  <c r="O143"/>
  <c r="G144"/>
  <c r="H144"/>
  <c r="I144"/>
  <c r="J144"/>
  <c r="K144"/>
  <c r="L144"/>
  <c r="M144"/>
  <c r="N144"/>
  <c r="O144"/>
  <c r="G145"/>
  <c r="H145"/>
  <c r="I145"/>
  <c r="J145"/>
  <c r="K145"/>
  <c r="L145"/>
  <c r="M145"/>
  <c r="N145"/>
  <c r="O145"/>
  <c r="G146"/>
  <c r="H146"/>
  <c r="I146"/>
  <c r="J146"/>
  <c r="K146"/>
  <c r="L146"/>
  <c r="M146"/>
  <c r="N146"/>
  <c r="O146"/>
  <c r="G147"/>
  <c r="H147"/>
  <c r="I147"/>
  <c r="J147"/>
  <c r="K147"/>
  <c r="L147"/>
  <c r="M147"/>
  <c r="N147"/>
  <c r="O147"/>
  <c r="G148"/>
  <c r="H148"/>
  <c r="I148"/>
  <c r="J148"/>
  <c r="K148"/>
  <c r="L148"/>
  <c r="M148"/>
  <c r="N148"/>
  <c r="O148"/>
  <c r="G149"/>
  <c r="H149"/>
  <c r="I149"/>
  <c r="J149"/>
  <c r="K149"/>
  <c r="L149"/>
  <c r="M149"/>
  <c r="N149"/>
  <c r="O149"/>
  <c r="G150"/>
  <c r="H150"/>
  <c r="I150"/>
  <c r="J150"/>
  <c r="K150"/>
  <c r="L150"/>
  <c r="M150"/>
  <c r="N150"/>
  <c r="O150"/>
  <c r="G151"/>
  <c r="H151"/>
  <c r="I151"/>
  <c r="J151"/>
  <c r="K151"/>
  <c r="L151"/>
  <c r="M151"/>
  <c r="N151"/>
  <c r="O151"/>
  <c r="G152"/>
  <c r="H152"/>
  <c r="I152"/>
  <c r="J152"/>
  <c r="K152"/>
  <c r="L152"/>
  <c r="M152"/>
  <c r="N152"/>
  <c r="O152"/>
  <c r="G153"/>
  <c r="H153"/>
  <c r="I153"/>
  <c r="J153"/>
  <c r="K153"/>
  <c r="L153"/>
  <c r="M153"/>
  <c r="N153"/>
  <c r="O153"/>
  <c r="G154"/>
  <c r="H154"/>
  <c r="I154"/>
  <c r="J154"/>
  <c r="K154"/>
  <c r="L154"/>
  <c r="M154"/>
  <c r="N154"/>
  <c r="O154"/>
  <c r="G155"/>
  <c r="H155"/>
  <c r="I155"/>
  <c r="J155"/>
  <c r="K155"/>
  <c r="L155"/>
  <c r="M155"/>
  <c r="N155"/>
  <c r="O155"/>
  <c r="G156"/>
  <c r="H156"/>
  <c r="I156"/>
  <c r="J156"/>
  <c r="K156"/>
  <c r="L156"/>
  <c r="M156"/>
  <c r="N156"/>
  <c r="O156"/>
  <c r="G157"/>
  <c r="H157"/>
  <c r="I157"/>
  <c r="J157"/>
  <c r="K157"/>
  <c r="L157"/>
  <c r="M157"/>
  <c r="N157"/>
  <c r="O157"/>
  <c r="G158"/>
  <c r="H158"/>
  <c r="I158"/>
  <c r="J158"/>
  <c r="K158"/>
  <c r="L158"/>
  <c r="M158"/>
  <c r="N158"/>
  <c r="O158"/>
  <c r="G159"/>
  <c r="H159"/>
  <c r="I159"/>
  <c r="J159"/>
  <c r="K159"/>
  <c r="L159"/>
  <c r="M159"/>
  <c r="N159"/>
  <c r="O159"/>
  <c r="G160"/>
  <c r="H160"/>
  <c r="I160"/>
  <c r="J160"/>
  <c r="K160"/>
  <c r="L160"/>
  <c r="M160"/>
  <c r="N160"/>
  <c r="O160"/>
  <c r="G161"/>
  <c r="H161"/>
  <c r="I161"/>
  <c r="J161"/>
  <c r="K161"/>
  <c r="L161"/>
  <c r="M161"/>
  <c r="N161"/>
  <c r="O161"/>
  <c r="G162"/>
  <c r="H162"/>
  <c r="I162"/>
  <c r="J162"/>
  <c r="K162"/>
  <c r="L162"/>
  <c r="M162"/>
  <c r="N162"/>
  <c r="O162"/>
  <c r="G163"/>
  <c r="H163"/>
  <c r="I163"/>
  <c r="J163"/>
  <c r="K163"/>
  <c r="L163"/>
  <c r="M163"/>
  <c r="N163"/>
  <c r="O163"/>
  <c r="G164"/>
  <c r="H164"/>
  <c r="I164"/>
  <c r="J164"/>
  <c r="K164"/>
  <c r="L164"/>
  <c r="M164"/>
  <c r="N164"/>
  <c r="O164"/>
  <c r="G165"/>
  <c r="H165"/>
  <c r="I165"/>
  <c r="J165"/>
  <c r="K165"/>
  <c r="L165"/>
  <c r="M165"/>
  <c r="N165"/>
  <c r="O165"/>
  <c r="G166"/>
  <c r="H166"/>
  <c r="I166"/>
  <c r="J166"/>
  <c r="K166"/>
  <c r="L166"/>
  <c r="M166"/>
  <c r="N166"/>
  <c r="O166"/>
  <c r="G167"/>
  <c r="H167"/>
  <c r="I167"/>
  <c r="J167"/>
  <c r="K167"/>
  <c r="L167"/>
  <c r="M167"/>
  <c r="N167"/>
  <c r="O167"/>
  <c r="G168"/>
  <c r="H168"/>
  <c r="I168"/>
  <c r="J168"/>
  <c r="K168"/>
  <c r="L168"/>
  <c r="M168"/>
  <c r="N168"/>
  <c r="O168"/>
  <c r="G169"/>
  <c r="H169"/>
  <c r="I169"/>
  <c r="J169"/>
  <c r="K169"/>
  <c r="L169"/>
  <c r="M169"/>
  <c r="N169"/>
  <c r="O169"/>
  <c r="G170"/>
  <c r="H170"/>
  <c r="I170"/>
  <c r="J170"/>
  <c r="K170"/>
  <c r="L170"/>
  <c r="M170"/>
  <c r="N170"/>
  <c r="O170"/>
  <c r="G171"/>
  <c r="H171"/>
  <c r="I171"/>
  <c r="J171"/>
  <c r="K171"/>
  <c r="L171"/>
  <c r="M171"/>
  <c r="N171"/>
  <c r="O171"/>
  <c r="G172"/>
  <c r="H172"/>
  <c r="I172"/>
  <c r="J172"/>
  <c r="K172"/>
  <c r="L172"/>
  <c r="M172"/>
  <c r="N172"/>
  <c r="O172"/>
  <c r="G173"/>
  <c r="H173"/>
  <c r="I173"/>
  <c r="J173"/>
  <c r="K173"/>
  <c r="L173"/>
  <c r="M173"/>
  <c r="N173"/>
  <c r="O173"/>
  <c r="G174"/>
  <c r="H174"/>
  <c r="I174"/>
  <c r="J174"/>
  <c r="K174"/>
  <c r="L174"/>
  <c r="M174"/>
  <c r="N174"/>
  <c r="O174"/>
  <c r="G175"/>
  <c r="H175"/>
  <c r="I175"/>
  <c r="J175"/>
  <c r="K175"/>
  <c r="L175"/>
  <c r="M175"/>
  <c r="N175"/>
  <c r="O175"/>
  <c r="G176"/>
  <c r="H176"/>
  <c r="I176"/>
  <c r="J176"/>
  <c r="K176"/>
  <c r="L176"/>
  <c r="M176"/>
  <c r="N176"/>
  <c r="O176"/>
  <c r="G177"/>
  <c r="H177"/>
  <c r="I177"/>
  <c r="J177"/>
  <c r="K177"/>
  <c r="L177"/>
  <c r="M177"/>
  <c r="N177"/>
  <c r="O177"/>
  <c r="G178"/>
  <c r="H178"/>
  <c r="I178"/>
  <c r="J178"/>
  <c r="K178"/>
  <c r="L178"/>
  <c r="M178"/>
  <c r="N178"/>
  <c r="O178"/>
  <c r="G179"/>
  <c r="H179"/>
  <c r="I179"/>
  <c r="J179"/>
  <c r="K179"/>
  <c r="L179"/>
  <c r="M179"/>
  <c r="N179"/>
  <c r="O179"/>
  <c r="G180"/>
  <c r="H180"/>
  <c r="I180"/>
  <c r="J180"/>
  <c r="K180"/>
  <c r="L180"/>
  <c r="M180"/>
  <c r="N180"/>
  <c r="O180"/>
  <c r="G181"/>
  <c r="H181"/>
  <c r="I181"/>
  <c r="J181"/>
  <c r="K181"/>
  <c r="L181"/>
  <c r="M181"/>
  <c r="N181"/>
  <c r="O181"/>
  <c r="G182"/>
  <c r="H182"/>
  <c r="I182"/>
  <c r="J182"/>
  <c r="K182"/>
  <c r="L182"/>
  <c r="M182"/>
  <c r="N182"/>
  <c r="O182"/>
  <c r="G183"/>
  <c r="H183"/>
  <c r="I183"/>
  <c r="J183"/>
  <c r="K183"/>
  <c r="L183"/>
  <c r="M183"/>
  <c r="N183"/>
  <c r="O183"/>
  <c r="G184"/>
  <c r="H184"/>
  <c r="I184"/>
  <c r="J184"/>
  <c r="K184"/>
  <c r="L184"/>
  <c r="M184"/>
  <c r="N184"/>
  <c r="O184"/>
  <c r="G185"/>
  <c r="H185"/>
  <c r="I185"/>
  <c r="J185"/>
  <c r="K185"/>
  <c r="L185"/>
  <c r="M185"/>
  <c r="N185"/>
  <c r="O185"/>
  <c r="G186"/>
  <c r="H186"/>
  <c r="I186"/>
  <c r="J186"/>
  <c r="K186"/>
  <c r="L186"/>
  <c r="M186"/>
  <c r="N186"/>
  <c r="O186"/>
  <c r="G187"/>
  <c r="H187"/>
  <c r="I187"/>
  <c r="J187"/>
  <c r="K187"/>
  <c r="L187"/>
  <c r="M187"/>
  <c r="N187"/>
  <c r="O187"/>
  <c r="G188"/>
  <c r="H188"/>
  <c r="I188"/>
  <c r="J188"/>
  <c r="K188"/>
  <c r="L188"/>
  <c r="M188"/>
  <c r="N188"/>
  <c r="O188"/>
  <c r="G189"/>
  <c r="H189"/>
  <c r="I189"/>
  <c r="J189"/>
  <c r="K189"/>
  <c r="L189"/>
  <c r="M189"/>
  <c r="N189"/>
  <c r="O189"/>
  <c r="G190"/>
  <c r="H190"/>
  <c r="I190"/>
  <c r="J190"/>
  <c r="K190"/>
  <c r="L190"/>
  <c r="M190"/>
  <c r="N190"/>
  <c r="O190"/>
  <c r="G191"/>
  <c r="H191"/>
  <c r="I191"/>
  <c r="J191"/>
  <c r="K191"/>
  <c r="L191"/>
  <c r="M191"/>
  <c r="N191"/>
  <c r="O191"/>
  <c r="G192"/>
  <c r="H192"/>
  <c r="I192"/>
  <c r="J192"/>
  <c r="K192"/>
  <c r="L192"/>
  <c r="M192"/>
  <c r="N192"/>
  <c r="O192"/>
  <c r="G193"/>
  <c r="H193"/>
  <c r="I193"/>
  <c r="J193"/>
  <c r="K193"/>
  <c r="L193"/>
  <c r="M193"/>
  <c r="N193"/>
  <c r="O193"/>
  <c r="G194"/>
  <c r="H194"/>
  <c r="I194"/>
  <c r="J194"/>
  <c r="K194"/>
  <c r="L194"/>
  <c r="M194"/>
  <c r="N194"/>
  <c r="O194"/>
  <c r="G195"/>
  <c r="H195"/>
  <c r="I195"/>
  <c r="J195"/>
  <c r="K195"/>
  <c r="L195"/>
  <c r="M195"/>
  <c r="N195"/>
  <c r="O195"/>
  <c r="G196"/>
  <c r="H196"/>
  <c r="I196"/>
  <c r="J196"/>
  <c r="K196"/>
  <c r="L196"/>
  <c r="M196"/>
  <c r="N196"/>
  <c r="O196"/>
  <c r="G197"/>
  <c r="H197"/>
  <c r="I197"/>
  <c r="J197"/>
  <c r="K197"/>
  <c r="L197"/>
  <c r="M197"/>
  <c r="N197"/>
  <c r="O197"/>
  <c r="G198"/>
  <c r="H198"/>
  <c r="I198"/>
  <c r="J198"/>
  <c r="K198"/>
  <c r="L198"/>
  <c r="M198"/>
  <c r="N198"/>
  <c r="O198"/>
  <c r="G199"/>
  <c r="H199"/>
  <c r="I199"/>
  <c r="J199"/>
  <c r="K199"/>
  <c r="L199"/>
  <c r="M199"/>
  <c r="N199"/>
  <c r="O199"/>
  <c r="G200"/>
  <c r="H200"/>
  <c r="I200"/>
  <c r="J200"/>
  <c r="K200"/>
  <c r="L200"/>
  <c r="M200"/>
  <c r="N200"/>
  <c r="O200"/>
  <c r="G201"/>
  <c r="H201"/>
  <c r="I201"/>
  <c r="J201"/>
  <c r="K201"/>
  <c r="L201"/>
  <c r="M201"/>
  <c r="N201"/>
  <c r="O201"/>
  <c r="G202"/>
  <c r="H202"/>
  <c r="I202"/>
  <c r="J202"/>
  <c r="K202"/>
  <c r="L202"/>
  <c r="M202"/>
  <c r="N202"/>
  <c r="O202"/>
  <c r="G203"/>
  <c r="H203"/>
  <c r="I203"/>
  <c r="J203"/>
  <c r="K203"/>
  <c r="L203"/>
  <c r="M203"/>
  <c r="N203"/>
  <c r="O203"/>
  <c r="G204"/>
  <c r="H204"/>
  <c r="I204"/>
  <c r="J204"/>
  <c r="K204"/>
  <c r="L204"/>
  <c r="M204"/>
  <c r="N204"/>
  <c r="O204"/>
  <c r="G205"/>
  <c r="H205"/>
  <c r="I205"/>
  <c r="J205"/>
  <c r="K205"/>
  <c r="L205"/>
  <c r="M205"/>
  <c r="N205"/>
  <c r="O205"/>
  <c r="G206"/>
  <c r="H206"/>
  <c r="I206"/>
  <c r="J206"/>
  <c r="K206"/>
  <c r="L206"/>
  <c r="M206"/>
  <c r="N206"/>
  <c r="O206"/>
  <c r="G207"/>
  <c r="H207"/>
  <c r="I207"/>
  <c r="J207"/>
  <c r="K207"/>
  <c r="L207"/>
  <c r="M207"/>
  <c r="N207"/>
  <c r="O207"/>
  <c r="G208"/>
  <c r="H208"/>
  <c r="I208"/>
  <c r="J208"/>
  <c r="K208"/>
  <c r="L208"/>
  <c r="M208"/>
  <c r="N208"/>
  <c r="O208"/>
  <c r="G209"/>
  <c r="H209"/>
  <c r="I209"/>
  <c r="J209"/>
  <c r="K209"/>
  <c r="L209"/>
  <c r="M209"/>
  <c r="N209"/>
  <c r="O209"/>
  <c r="G210"/>
  <c r="H210"/>
  <c r="I210"/>
  <c r="J210"/>
  <c r="K210"/>
  <c r="L210"/>
  <c r="M210"/>
  <c r="N210"/>
  <c r="O210"/>
  <c r="G211"/>
  <c r="H211"/>
  <c r="I211"/>
  <c r="J211"/>
  <c r="K211"/>
  <c r="L211"/>
  <c r="M211"/>
  <c r="N211"/>
  <c r="O211"/>
  <c r="G212"/>
  <c r="H212"/>
  <c r="I212"/>
  <c r="J212"/>
  <c r="K212"/>
  <c r="L212"/>
  <c r="M212"/>
  <c r="N212"/>
  <c r="O212"/>
  <c r="G213"/>
  <c r="H213"/>
  <c r="I213"/>
  <c r="J213"/>
  <c r="K213"/>
  <c r="L213"/>
  <c r="M213"/>
  <c r="N213"/>
  <c r="O213"/>
  <c r="G214"/>
  <c r="H214"/>
  <c r="I214"/>
  <c r="J214"/>
  <c r="K214"/>
  <c r="L214"/>
  <c r="M214"/>
  <c r="N214"/>
  <c r="O214"/>
  <c r="G215"/>
  <c r="H215"/>
  <c r="I215"/>
  <c r="J215"/>
  <c r="K215"/>
  <c r="L215"/>
  <c r="M215"/>
  <c r="N215"/>
  <c r="O215"/>
  <c r="G216"/>
  <c r="H216"/>
  <c r="I216"/>
  <c r="J216"/>
  <c r="K216"/>
  <c r="L216"/>
  <c r="M216"/>
  <c r="N216"/>
  <c r="O216"/>
  <c r="G217"/>
  <c r="H217"/>
  <c r="I217"/>
  <c r="J217"/>
  <c r="K217"/>
  <c r="L217"/>
  <c r="M217"/>
  <c r="N217"/>
  <c r="O217"/>
  <c r="G218"/>
  <c r="H218"/>
  <c r="I218"/>
  <c r="J218"/>
  <c r="K218"/>
  <c r="L218"/>
  <c r="M218"/>
  <c r="N218"/>
  <c r="O218"/>
  <c r="G219"/>
  <c r="H219"/>
  <c r="I219"/>
  <c r="J219"/>
  <c r="K219"/>
  <c r="L219"/>
  <c r="M219"/>
  <c r="N219"/>
  <c r="O219"/>
  <c r="G220"/>
  <c r="H220"/>
  <c r="I220"/>
  <c r="J220"/>
  <c r="K220"/>
  <c r="L220"/>
  <c r="M220"/>
  <c r="N220"/>
  <c r="O220"/>
  <c r="G221"/>
  <c r="H221"/>
  <c r="I221"/>
  <c r="J221"/>
  <c r="K221"/>
  <c r="L221"/>
  <c r="M221"/>
  <c r="N221"/>
  <c r="O221"/>
  <c r="G222"/>
  <c r="H222"/>
  <c r="I222"/>
  <c r="J222"/>
  <c r="K222"/>
  <c r="L222"/>
  <c r="M222"/>
  <c r="N222"/>
  <c r="O222"/>
  <c r="G223"/>
  <c r="H223"/>
  <c r="I223"/>
  <c r="J223"/>
  <c r="K223"/>
  <c r="L223"/>
  <c r="M223"/>
  <c r="N223"/>
  <c r="O223"/>
  <c r="G224"/>
  <c r="H224"/>
  <c r="I224"/>
  <c r="J224"/>
  <c r="K224"/>
  <c r="L224"/>
  <c r="M224"/>
  <c r="N224"/>
  <c r="O224"/>
  <c r="G225"/>
  <c r="H225"/>
  <c r="I225"/>
  <c r="J225"/>
  <c r="K225"/>
  <c r="L225"/>
  <c r="M225"/>
  <c r="N225"/>
  <c r="O225"/>
  <c r="G226"/>
  <c r="H226"/>
  <c r="I226"/>
  <c r="J226"/>
  <c r="K226"/>
  <c r="L226"/>
  <c r="M226"/>
  <c r="N226"/>
  <c r="O226"/>
  <c r="G227"/>
  <c r="H227"/>
  <c r="I227"/>
  <c r="J227"/>
  <c r="K227"/>
  <c r="L227"/>
  <c r="M227"/>
  <c r="N227"/>
  <c r="O227"/>
  <c r="G228"/>
  <c r="H228"/>
  <c r="I228"/>
  <c r="J228"/>
  <c r="K228"/>
  <c r="L228"/>
  <c r="M228"/>
  <c r="N228"/>
  <c r="O228"/>
  <c r="G229"/>
  <c r="H229"/>
  <c r="I229"/>
  <c r="J229"/>
  <c r="K229"/>
  <c r="L229"/>
  <c r="M229"/>
  <c r="N229"/>
  <c r="O229"/>
  <c r="G230"/>
  <c r="H230"/>
  <c r="I230"/>
  <c r="J230"/>
  <c r="K230"/>
  <c r="L230"/>
  <c r="M230"/>
  <c r="N230"/>
  <c r="O230"/>
  <c r="G231"/>
  <c r="H231"/>
  <c r="I231"/>
  <c r="J231"/>
  <c r="K231"/>
  <c r="L231"/>
  <c r="M231"/>
  <c r="N231"/>
  <c r="O231"/>
  <c r="G232"/>
  <c r="H232"/>
  <c r="I232"/>
  <c r="J232"/>
  <c r="K232"/>
  <c r="L232"/>
  <c r="M232"/>
  <c r="N232"/>
  <c r="O232"/>
  <c r="G233"/>
  <c r="H233"/>
  <c r="I233"/>
  <c r="J233"/>
  <c r="K233"/>
  <c r="L233"/>
  <c r="M233"/>
  <c r="N233"/>
  <c r="O233"/>
  <c r="G234"/>
  <c r="H234"/>
  <c r="I234"/>
  <c r="J234"/>
  <c r="K234"/>
  <c r="L234"/>
  <c r="M234"/>
  <c r="N234"/>
  <c r="O234"/>
  <c r="G235"/>
  <c r="H235"/>
  <c r="I235"/>
  <c r="J235"/>
  <c r="K235"/>
  <c r="L235"/>
  <c r="M235"/>
  <c r="N235"/>
  <c r="O235"/>
  <c r="G236"/>
  <c r="H236"/>
  <c r="I236"/>
  <c r="J236"/>
  <c r="K236"/>
  <c r="L236"/>
  <c r="M236"/>
  <c r="N236"/>
  <c r="O236"/>
  <c r="G237"/>
  <c r="H237"/>
  <c r="I237"/>
  <c r="J237"/>
  <c r="K237"/>
  <c r="L237"/>
  <c r="M237"/>
  <c r="N237"/>
  <c r="O237"/>
  <c r="G238"/>
  <c r="H238"/>
  <c r="I238"/>
  <c r="J238"/>
  <c r="K238"/>
  <c r="L238"/>
  <c r="M238"/>
  <c r="N238"/>
  <c r="O238"/>
  <c r="G239"/>
  <c r="H239"/>
  <c r="I239"/>
  <c r="J239"/>
  <c r="K239"/>
  <c r="L239"/>
  <c r="M239"/>
  <c r="N239"/>
  <c r="O239"/>
  <c r="G240"/>
  <c r="H240"/>
  <c r="I240"/>
  <c r="J240"/>
  <c r="K240"/>
  <c r="L240"/>
  <c r="M240"/>
  <c r="N240"/>
  <c r="O240"/>
  <c r="G241"/>
  <c r="H241"/>
  <c r="I241"/>
  <c r="J241"/>
  <c r="K241"/>
  <c r="L241"/>
  <c r="M241"/>
  <c r="N241"/>
  <c r="O241"/>
  <c r="G242"/>
  <c r="H242"/>
  <c r="I242"/>
  <c r="J242"/>
  <c r="K242"/>
  <c r="L242"/>
  <c r="M242"/>
  <c r="N242"/>
  <c r="O242"/>
  <c r="G243"/>
  <c r="H243"/>
  <c r="I243"/>
  <c r="J243"/>
  <c r="K243"/>
  <c r="L243"/>
  <c r="M243"/>
  <c r="N243"/>
  <c r="O243"/>
  <c r="G244"/>
  <c r="H244"/>
  <c r="I244"/>
  <c r="J244"/>
  <c r="K244"/>
  <c r="L244"/>
  <c r="M244"/>
  <c r="N244"/>
  <c r="O244"/>
  <c r="G245"/>
  <c r="H245"/>
  <c r="I245"/>
  <c r="J245"/>
  <c r="K245"/>
  <c r="L245"/>
  <c r="M245"/>
  <c r="N245"/>
  <c r="O245"/>
  <c r="G246"/>
  <c r="H246"/>
  <c r="I246"/>
  <c r="J246"/>
  <c r="K246"/>
  <c r="L246"/>
  <c r="M246"/>
  <c r="N246"/>
  <c r="O246"/>
  <c r="G247"/>
  <c r="H247"/>
  <c r="I247"/>
  <c r="J247"/>
  <c r="K247"/>
  <c r="L247"/>
  <c r="M247"/>
  <c r="N247"/>
  <c r="O247"/>
  <c r="G248"/>
  <c r="H248"/>
  <c r="I248"/>
  <c r="J248"/>
  <c r="K248"/>
  <c r="L248"/>
  <c r="M248"/>
  <c r="N248"/>
  <c r="O248"/>
  <c r="G249"/>
  <c r="H249"/>
  <c r="I249"/>
  <c r="J249"/>
  <c r="K249"/>
  <c r="L249"/>
  <c r="M249"/>
  <c r="N249"/>
  <c r="O249"/>
  <c r="G250"/>
  <c r="H250"/>
  <c r="I250"/>
  <c r="J250"/>
  <c r="K250"/>
  <c r="L250"/>
  <c r="M250"/>
  <c r="N250"/>
  <c r="O250"/>
  <c r="G251"/>
  <c r="H251"/>
  <c r="I251"/>
  <c r="J251"/>
  <c r="K251"/>
  <c r="L251"/>
  <c r="M251"/>
  <c r="N251"/>
  <c r="O251"/>
  <c r="G252"/>
  <c r="H252"/>
  <c r="I252"/>
  <c r="J252"/>
  <c r="K252"/>
  <c r="L252"/>
  <c r="M252"/>
  <c r="N252"/>
  <c r="O252"/>
  <c r="G253"/>
  <c r="H253"/>
  <c r="I253"/>
  <c r="J253"/>
  <c r="K253"/>
  <c r="L253"/>
  <c r="M253"/>
  <c r="N253"/>
  <c r="O253"/>
  <c r="G254"/>
  <c r="H254"/>
  <c r="I254"/>
  <c r="J254"/>
  <c r="K254"/>
  <c r="L254"/>
  <c r="M254"/>
  <c r="N254"/>
  <c r="O254"/>
  <c r="G255"/>
  <c r="H255"/>
  <c r="I255"/>
  <c r="J255"/>
  <c r="K255"/>
  <c r="L255"/>
  <c r="M255"/>
  <c r="N255"/>
  <c r="O255"/>
  <c r="G256"/>
  <c r="H256"/>
  <c r="I256"/>
  <c r="J256"/>
  <c r="K256"/>
  <c r="L256"/>
  <c r="M256"/>
  <c r="N256"/>
  <c r="O256"/>
  <c r="G257"/>
  <c r="H257"/>
  <c r="I257"/>
  <c r="J257"/>
  <c r="K257"/>
  <c r="L257"/>
  <c r="M257"/>
  <c r="N257"/>
  <c r="O257"/>
  <c r="G258"/>
  <c r="H258"/>
  <c r="I258"/>
  <c r="J258"/>
  <c r="K258"/>
  <c r="L258"/>
  <c r="M258"/>
  <c r="N258"/>
  <c r="O258"/>
  <c r="G259"/>
  <c r="H259"/>
  <c r="I259"/>
  <c r="J259"/>
  <c r="K259"/>
  <c r="L259"/>
  <c r="M259"/>
  <c r="N259"/>
  <c r="O259"/>
  <c r="G260"/>
  <c r="H260"/>
  <c r="I260"/>
  <c r="J260"/>
  <c r="K260"/>
  <c r="L260"/>
  <c r="M260"/>
  <c r="N260"/>
  <c r="O260"/>
  <c r="G261"/>
  <c r="H261"/>
  <c r="I261"/>
  <c r="J261"/>
  <c r="K261"/>
  <c r="L261"/>
  <c r="M261"/>
  <c r="N261"/>
  <c r="O261"/>
  <c r="G262"/>
  <c r="H262"/>
  <c r="I262"/>
  <c r="J262"/>
  <c r="K262"/>
  <c r="L262"/>
  <c r="M262"/>
  <c r="N262"/>
  <c r="O262"/>
  <c r="G263"/>
  <c r="H263"/>
  <c r="I263"/>
  <c r="J263"/>
  <c r="K263"/>
  <c r="L263"/>
  <c r="M263"/>
  <c r="N263"/>
  <c r="O263"/>
  <c r="G264"/>
  <c r="H264"/>
  <c r="I264"/>
  <c r="J264"/>
  <c r="K264"/>
  <c r="L264"/>
  <c r="M264"/>
  <c r="N264"/>
  <c r="O264"/>
  <c r="G265"/>
  <c r="H265"/>
  <c r="I265"/>
  <c r="J265"/>
  <c r="K265"/>
  <c r="L265"/>
  <c r="M265"/>
  <c r="N265"/>
  <c r="O265"/>
  <c r="G266"/>
  <c r="H266"/>
  <c r="I266"/>
  <c r="J266"/>
  <c r="K266"/>
  <c r="L266"/>
  <c r="M266"/>
  <c r="N266"/>
  <c r="O266"/>
  <c r="G267"/>
  <c r="H267"/>
  <c r="I267"/>
  <c r="J267"/>
  <c r="K267"/>
  <c r="L267"/>
  <c r="M267"/>
  <c r="N267"/>
  <c r="O267"/>
  <c r="G268"/>
  <c r="H268"/>
  <c r="I268"/>
  <c r="J268"/>
  <c r="K268"/>
  <c r="L268"/>
  <c r="M268"/>
  <c r="N268"/>
  <c r="O268"/>
  <c r="G269"/>
  <c r="H269"/>
  <c r="I269"/>
  <c r="J269"/>
  <c r="K269"/>
  <c r="L269"/>
  <c r="M269"/>
  <c r="N269"/>
  <c r="O269"/>
  <c r="G270"/>
  <c r="H270"/>
  <c r="I270"/>
  <c r="J270"/>
  <c r="K270"/>
  <c r="L270"/>
  <c r="M270"/>
  <c r="N270"/>
  <c r="O270"/>
  <c r="G271"/>
  <c r="H271"/>
  <c r="I271"/>
  <c r="J271"/>
  <c r="K271"/>
  <c r="L271"/>
  <c r="M271"/>
  <c r="N271"/>
  <c r="O271"/>
  <c r="G272"/>
  <c r="H272"/>
  <c r="I272"/>
  <c r="J272"/>
  <c r="K272"/>
  <c r="L272"/>
  <c r="M272"/>
  <c r="N272"/>
  <c r="O272"/>
  <c r="G273"/>
  <c r="H273"/>
  <c r="I273"/>
  <c r="J273"/>
  <c r="K273"/>
  <c r="L273"/>
  <c r="M273"/>
  <c r="N273"/>
  <c r="O273"/>
  <c r="G274"/>
  <c r="H274"/>
  <c r="I274"/>
  <c r="J274"/>
  <c r="K274"/>
  <c r="L274"/>
  <c r="M274"/>
  <c r="N274"/>
  <c r="O274"/>
  <c r="G275"/>
  <c r="H275"/>
  <c r="I275"/>
  <c r="J275"/>
  <c r="K275"/>
  <c r="L275"/>
  <c r="M275"/>
  <c r="N275"/>
  <c r="O275"/>
  <c r="G276"/>
  <c r="H276"/>
  <c r="I276"/>
  <c r="J276"/>
  <c r="K276"/>
  <c r="L276"/>
  <c r="M276"/>
  <c r="N276"/>
  <c r="O276"/>
  <c r="G277"/>
  <c r="H277"/>
  <c r="I277"/>
  <c r="J277"/>
  <c r="K277"/>
  <c r="L277"/>
  <c r="M277"/>
  <c r="N277"/>
  <c r="O277"/>
  <c r="G278"/>
  <c r="H278"/>
  <c r="I278"/>
  <c r="J278"/>
  <c r="K278"/>
  <c r="L278"/>
  <c r="M278"/>
  <c r="N278"/>
  <c r="O278"/>
  <c r="G279"/>
  <c r="H279"/>
  <c r="I279"/>
  <c r="J279"/>
  <c r="K279"/>
  <c r="L279"/>
  <c r="M279"/>
  <c r="N279"/>
  <c r="O279"/>
  <c r="G280"/>
  <c r="H280"/>
  <c r="I280"/>
  <c r="J280"/>
  <c r="K280"/>
  <c r="L280"/>
  <c r="M280"/>
  <c r="N280"/>
  <c r="O280"/>
  <c r="G281"/>
  <c r="H281"/>
  <c r="I281"/>
  <c r="J281"/>
  <c r="K281"/>
  <c r="L281"/>
  <c r="M281"/>
  <c r="N281"/>
  <c r="O281"/>
  <c r="G282"/>
  <c r="H282"/>
  <c r="I282"/>
  <c r="J282"/>
  <c r="K282"/>
  <c r="L282"/>
  <c r="M282"/>
  <c r="N282"/>
  <c r="O282"/>
  <c r="G283"/>
  <c r="H283"/>
  <c r="I283"/>
  <c r="J283"/>
  <c r="K283"/>
  <c r="L283"/>
  <c r="M283"/>
  <c r="N283"/>
  <c r="O283"/>
  <c r="G284"/>
  <c r="H284"/>
  <c r="I284"/>
  <c r="J284"/>
  <c r="K284"/>
  <c r="L284"/>
  <c r="M284"/>
  <c r="N284"/>
  <c r="O284"/>
  <c r="G285"/>
  <c r="H285"/>
  <c r="I285"/>
  <c r="J285"/>
  <c r="K285"/>
  <c r="L285"/>
  <c r="M285"/>
  <c r="N285"/>
  <c r="O285"/>
  <c r="G286"/>
  <c r="H286"/>
  <c r="I286"/>
  <c r="J286"/>
  <c r="K286"/>
  <c r="L286"/>
  <c r="M286"/>
  <c r="N286"/>
  <c r="O286"/>
  <c r="G287"/>
  <c r="H287"/>
  <c r="I287"/>
  <c r="J287"/>
  <c r="K287"/>
  <c r="L287"/>
  <c r="M287"/>
  <c r="N287"/>
  <c r="O287"/>
  <c r="G288"/>
  <c r="H288"/>
  <c r="I288"/>
  <c r="J288"/>
  <c r="K288"/>
  <c r="L288"/>
  <c r="M288"/>
  <c r="N288"/>
  <c r="O288"/>
  <c r="G289"/>
  <c r="H289"/>
  <c r="I289"/>
  <c r="J289"/>
  <c r="K289"/>
  <c r="L289"/>
  <c r="M289"/>
  <c r="N289"/>
  <c r="O289"/>
  <c r="G290"/>
  <c r="H290"/>
  <c r="I290"/>
  <c r="J290"/>
  <c r="K290"/>
  <c r="L290"/>
  <c r="M290"/>
  <c r="N290"/>
  <c r="O290"/>
  <c r="G291"/>
  <c r="H291"/>
  <c r="I291"/>
  <c r="J291"/>
  <c r="K291"/>
  <c r="L291"/>
  <c r="M291"/>
  <c r="N291"/>
  <c r="O291"/>
  <c r="G292"/>
  <c r="H292"/>
  <c r="I292"/>
  <c r="J292"/>
  <c r="K292"/>
  <c r="L292"/>
  <c r="M292"/>
  <c r="N292"/>
  <c r="O292"/>
  <c r="G293"/>
  <c r="H293"/>
  <c r="I293"/>
  <c r="J293"/>
  <c r="K293"/>
  <c r="L293"/>
  <c r="M293"/>
  <c r="N293"/>
  <c r="O293"/>
  <c r="G294"/>
  <c r="H294"/>
  <c r="I294"/>
  <c r="J294"/>
  <c r="K294"/>
  <c r="L294"/>
  <c r="M294"/>
  <c r="N294"/>
  <c r="O294"/>
  <c r="G295"/>
  <c r="H295"/>
  <c r="I295"/>
  <c r="J295"/>
  <c r="K295"/>
  <c r="L295"/>
  <c r="M295"/>
  <c r="N295"/>
  <c r="O295"/>
  <c r="G296"/>
  <c r="H296"/>
  <c r="I296"/>
  <c r="J296"/>
  <c r="K296"/>
  <c r="L296"/>
  <c r="M296"/>
  <c r="N296"/>
  <c r="O296"/>
  <c r="G297"/>
  <c r="H297"/>
  <c r="I297"/>
  <c r="J297"/>
  <c r="K297"/>
  <c r="L297"/>
  <c r="M297"/>
  <c r="N297"/>
  <c r="O297"/>
</calcChain>
</file>

<file path=xl/sharedStrings.xml><?xml version="1.0" encoding="utf-8"?>
<sst xmlns="http://schemas.openxmlformats.org/spreadsheetml/2006/main" count="1909" uniqueCount="948">
  <si>
    <t>鞍钢化学科技有限公司</t>
  </si>
  <si>
    <t>鞍钢股份有限公司</t>
  </si>
  <si>
    <t>鞍山七彩化学股份有限公司</t>
  </si>
  <si>
    <t>辽宁缘泰石油化工有限公司</t>
  </si>
  <si>
    <t>鞍山辉虹颜料科技有限公司</t>
  </si>
  <si>
    <t>鞍山盛盟煤气化有限公司</t>
  </si>
  <si>
    <t>汎宇化学（辽宁）有限公司</t>
  </si>
  <si>
    <t>中唯炼焦技术国家工程研究中心有限责任公司</t>
  </si>
  <si>
    <t>鞍山顺通化工新材料有限公司</t>
  </si>
  <si>
    <t>海城利奇碳材有限公司</t>
  </si>
  <si>
    <t>辽宁源宇化工有限公司</t>
  </si>
  <si>
    <t>鞍山智邦化工有限公司</t>
  </si>
  <si>
    <t>中橡（鞍山）化学工业有限公司</t>
  </si>
  <si>
    <t>鞍钢贝克吉利尼水处理有限公司</t>
  </si>
  <si>
    <t>鞍山友田环保科技有限公司</t>
  </si>
  <si>
    <t>鞍山天雨发展有限公司</t>
  </si>
  <si>
    <t>华信华方国际环保科技（北京）有限公司鞍山分公司</t>
  </si>
  <si>
    <t>台安虹光医疗废物集中处置有限公司</t>
  </si>
  <si>
    <t>岫岩满族自治县洁达环保有限公司</t>
  </si>
  <si>
    <t>鞍山市广源环保科技有限公司</t>
  </si>
  <si>
    <t>海城市竤原物资回收有限公司</t>
  </si>
  <si>
    <t>辽宁澳贝达危废处理有限公司</t>
  </si>
  <si>
    <t>鞍山市润丰再生资源回收有限公司</t>
  </si>
  <si>
    <t>海城市海纪废机油回收有限公司</t>
  </si>
  <si>
    <t>海城市鑫鹏再生资源回收有限公司</t>
  </si>
  <si>
    <t>海城市正旭废机油回收有限公司</t>
  </si>
  <si>
    <t>辽宁明和产业有限公司（海城毛祁库）</t>
  </si>
  <si>
    <t>台安县腾达化工产品经销有限公司</t>
  </si>
  <si>
    <t>台安润丰再生资源回收有限公司</t>
  </si>
  <si>
    <t>岫岩满族自治县华顺废油回收有限公司</t>
  </si>
  <si>
    <t>鞍山市三峰环保发电有限公司</t>
  </si>
  <si>
    <t>中国石油辽河油田高升采油厂</t>
  </si>
  <si>
    <t>鞍山永丰热镀锌有限公司</t>
  </si>
  <si>
    <t>鞍山紫竹重型特钢有限公司</t>
  </si>
  <si>
    <t>辽宁天盛镁业有限公司</t>
  </si>
  <si>
    <t>鞍钢钢绳有限责任公司</t>
  </si>
  <si>
    <t>海城诚信有色金属有限公司</t>
  </si>
  <si>
    <t>鞍山紫竹科技型钢有限公司</t>
  </si>
  <si>
    <t>海城市牌楼镇发达矿业有限公司</t>
  </si>
  <si>
    <t>海城市中昊镁业有限公司</t>
  </si>
  <si>
    <t>海城宝山镁业有限公司</t>
  </si>
  <si>
    <t>海城镁矿集团有限公司</t>
  </si>
  <si>
    <t>辽宁东和新材料股份有限公司毛祁厂区</t>
  </si>
  <si>
    <t>鞍山科德轧辊表面处理有限公司</t>
  </si>
  <si>
    <t>辽宁乾赫耐火材料有限公司</t>
  </si>
  <si>
    <t>鞍山发蓝股份公司</t>
  </si>
  <si>
    <t>海城市后英经贸集团有限公司千山区</t>
  </si>
  <si>
    <t>鞍钢集团鞍千矿业有限责任公司</t>
  </si>
  <si>
    <t>海城利尔麦格西塔材料有限公司</t>
  </si>
  <si>
    <t>海城市瑞益耐火材料制造有限公司</t>
  </si>
  <si>
    <t>丹佛斯（鞍山）控制阀有限公司</t>
  </si>
  <si>
    <t>海城市军刚中档镁砂有限公司</t>
  </si>
  <si>
    <t>鞍钢集团矿业有限公司装备制造分公司</t>
  </si>
  <si>
    <t>鞍山钢铁集团有限公司铁路运输分公司</t>
  </si>
  <si>
    <t>鞍山宝得钢铁有限公司</t>
  </si>
  <si>
    <t>鞍山市成烨实业化工有限公司</t>
  </si>
  <si>
    <t>鞍钢集团矿业有限公司齐大山分公司（铁矿采选）</t>
  </si>
  <si>
    <t>鞍山市正发电路有限公司</t>
  </si>
  <si>
    <t>鞍山冶金集团工业有限公司鞍山一炼钢分公司</t>
  </si>
  <si>
    <t>辽宁衡业汽车新材股份有限公司</t>
  </si>
  <si>
    <t>中国能源建设集团鞍山铁塔有限公司</t>
  </si>
  <si>
    <t>中国石油天然气股份有限公司辽河油田公司高升采油厂</t>
  </si>
  <si>
    <t>鞍山神龙腾达工贸有限公司</t>
  </si>
  <si>
    <t>企业名</t>
    <phoneticPr fontId="1" type="noConversion"/>
  </si>
  <si>
    <t>序号</t>
    <phoneticPr fontId="1" type="noConversion"/>
  </si>
  <si>
    <t>市管理</t>
  </si>
  <si>
    <t>海城市</t>
  </si>
  <si>
    <t>台安县</t>
  </si>
  <si>
    <t>千山区</t>
  </si>
  <si>
    <t>立山区</t>
  </si>
  <si>
    <t>经开区</t>
  </si>
  <si>
    <t>铁东区</t>
  </si>
  <si>
    <t>岫岩县</t>
  </si>
  <si>
    <t>铁西区</t>
  </si>
  <si>
    <t>地区</t>
    <phoneticPr fontId="1" type="noConversion"/>
  </si>
  <si>
    <t>鞍山禾盛联再生资源回收有限公司</t>
  </si>
  <si>
    <t>鞍山禾盛联再生资源回收有限公司</t>
    <phoneticPr fontId="1" type="noConversion"/>
  </si>
  <si>
    <t>鞍山市危险废物重点监管单位清单</t>
    <phoneticPr fontId="1" type="noConversion"/>
  </si>
  <si>
    <t>经营单位</t>
    <phoneticPr fontId="1" type="noConversion"/>
  </si>
  <si>
    <t/>
  </si>
  <si>
    <t>水利、环境和公共设施管理业</t>
  </si>
  <si>
    <t>MA10B1YH7</t>
  </si>
  <si>
    <t>814ca9e9b7cc4ca297c14f8393d1808d</t>
  </si>
  <si>
    <t>制造业</t>
  </si>
  <si>
    <t>MA0XL7J1X</t>
  </si>
  <si>
    <t>0c7e69a7f0ec4ec598c9fce30b60ff1a</t>
  </si>
  <si>
    <t>91210300MA0XUH0FXP</t>
  </si>
  <si>
    <t>鞍山鑫源耐材资源有限公司鞍钢厂内厂区</t>
  </si>
  <si>
    <t>LNGF_91210300MA0XUH0FXP002U</t>
  </si>
  <si>
    <t>批发和零售业</t>
  </si>
  <si>
    <t>MA0UCXKP1</t>
  </si>
  <si>
    <t>辽宁省高速石化能源有限责任公司析木服务区加油站</t>
  </si>
  <si>
    <t>4f90c3159fc64e7faeb50d378d9b26a3</t>
  </si>
  <si>
    <t>25665237D</t>
  </si>
  <si>
    <t>中国石油天然气股份有限公司辽宁鞍山自由街加油站</t>
  </si>
  <si>
    <t>d81097073778420b803520fbb1e338ce</t>
  </si>
  <si>
    <t>经济开发区(新)</t>
  </si>
  <si>
    <t>MA0QCLG8M</t>
  </si>
  <si>
    <t>鞍山富唐化工有限公司</t>
  </si>
  <si>
    <t>060db5cdcce94cd28d3d206f5931ca31</t>
  </si>
  <si>
    <t>MA10GKTF8</t>
  </si>
  <si>
    <t>f5a3c129fac441b1a1284ed61bb2171d</t>
  </si>
  <si>
    <t>387953133</t>
  </si>
  <si>
    <t>中国石油天然气股份有限公司辽宁鞍山深沟寺加油站</t>
  </si>
  <si>
    <t>81ba10f7371749c79014cd96180e0e02</t>
  </si>
  <si>
    <t>91210300M</t>
  </si>
  <si>
    <t>鞍钢重型机械有限责任公司机电分厂</t>
  </si>
  <si>
    <t>bb64e196928148e0a46500451f67cd86</t>
  </si>
  <si>
    <t>岫岩满族自治县</t>
  </si>
  <si>
    <t>91210322120373741J</t>
  </si>
  <si>
    <t>鞍山市泽鑫农药有限公司</t>
  </si>
  <si>
    <t>LNGF_91210322120373741J001P</t>
  </si>
  <si>
    <t>鞍山高新技术产业开发区</t>
  </si>
  <si>
    <t>912103001</t>
  </si>
  <si>
    <t>鞍山市第三轧钢有限公司</t>
  </si>
  <si>
    <t>daa215a4b7a74c60be4ac86885c1e2a3</t>
  </si>
  <si>
    <t>725666336</t>
  </si>
  <si>
    <t>中国石油天然气股份有限公司辽宁鞍山民生路加油站</t>
  </si>
  <si>
    <t>4fee25a431f04a958539c912fc598533</t>
  </si>
  <si>
    <t>卫生和社会工作</t>
  </si>
  <si>
    <t>MA108XH19</t>
  </si>
  <si>
    <t>铁东区刘影口腔诊所</t>
  </si>
  <si>
    <t>6509044211d042dda124b3c66c2b771e</t>
  </si>
  <si>
    <t>MA0Y8YLB8</t>
  </si>
  <si>
    <t>0a212707558f4da9bdf00b6310bf0ac7</t>
  </si>
  <si>
    <t>94126485X</t>
  </si>
  <si>
    <t>鞍钢电气有限责任公司</t>
  </si>
  <si>
    <t>d82e5ae59ecf4668a9d41d9379bfe697</t>
  </si>
  <si>
    <t>738795284</t>
  </si>
  <si>
    <t>中国石油天然气股份有限公司辽宁鞍山通山街加油站</t>
  </si>
  <si>
    <t>af4c77f41ede449392f45ba5e6481f78</t>
  </si>
  <si>
    <t>241422650</t>
  </si>
  <si>
    <t>鞍山冶金集团工业有限公司鞍山化工分公司</t>
  </si>
  <si>
    <t>29b07fe3b2214c1f95ab08c21a947efd</t>
  </si>
  <si>
    <t>673787936</t>
  </si>
  <si>
    <t>海城市凯煦镁质材料有限公司</t>
  </si>
  <si>
    <t>cec9ca15e2344fcbb903c6ab4afd313d</t>
  </si>
  <si>
    <t>068341098</t>
  </si>
  <si>
    <t>海城市晟镁耐火材料有限公司</t>
  </si>
  <si>
    <t>30D50AD43773430D90CBD82B72A5AD54</t>
  </si>
  <si>
    <t>信息传输、软件和信息技术服务业</t>
  </si>
  <si>
    <t>818887680</t>
  </si>
  <si>
    <t>中国联合网络通信有限公司鞍山市分公司</t>
  </si>
  <si>
    <t>eb9f8b5b22744a33a77656c6b14a21b0</t>
  </si>
  <si>
    <t>618417952</t>
  </si>
  <si>
    <t>中国石油天然气股份有限公司辽宁鞍山三道街加油站</t>
  </si>
  <si>
    <t>12565486698049bea41b9612ff9b261f</t>
  </si>
  <si>
    <t>采矿业</t>
  </si>
  <si>
    <t>164843620</t>
  </si>
  <si>
    <t>金海采油厂</t>
  </si>
  <si>
    <t>9144bae04a96422e9a3a1ccc23b013a0</t>
  </si>
  <si>
    <t>00140690X</t>
  </si>
  <si>
    <t>岫岩满族自治县龙潭镇人民政府</t>
  </si>
  <si>
    <t>32658ef6399e4e628f0faa3fb7e36df5</t>
  </si>
  <si>
    <t>672970413</t>
  </si>
  <si>
    <t>海城市亿隆能源有限公司</t>
  </si>
  <si>
    <t>ecb422c237b64e3ca00d15e06113945c</t>
  </si>
  <si>
    <t>037591020</t>
  </si>
  <si>
    <t>鞍山市启正轮胎有限公司</t>
  </si>
  <si>
    <t>4e8ecdfa40904f87ac64ecfddfe81048</t>
  </si>
  <si>
    <t>A0P5KML38</t>
  </si>
  <si>
    <t>鞍山冶金集团工业有限公司鞍山三炼钢分公司</t>
  </si>
  <si>
    <t>a35419de9a864de082b848fbccca6a0c</t>
  </si>
  <si>
    <t>91210300580713516D</t>
  </si>
  <si>
    <t>319ABE6F60EB4B75941CB3E530C35693</t>
  </si>
  <si>
    <t>241566574</t>
  </si>
  <si>
    <t>海城金成镁制品制造有限公司</t>
  </si>
  <si>
    <t>4f762de1b9b542dd8b70c64bcde8a04c</t>
  </si>
  <si>
    <t>9121030011914268XX</t>
  </si>
  <si>
    <t>鞍山卓越特种材料厂</t>
  </si>
  <si>
    <t>6b6e79c7547749b88dc1e03cfe597165</t>
  </si>
  <si>
    <t>119149697</t>
  </si>
  <si>
    <t>鞍钢实业三块石化工厂</t>
  </si>
  <si>
    <t>ec3d4d3a784843f2a73a80c6cbfa88a0</t>
  </si>
  <si>
    <t>91210300774648310M001Q</t>
  </si>
  <si>
    <t>辽宁利鑫冶金设备制造有限公司</t>
  </si>
  <si>
    <t>LNGF_91210300774648310M001Q</t>
  </si>
  <si>
    <t>鞍山鑫源耐材资源有限公司立山厂区</t>
  </si>
  <si>
    <t>LNGF_91210300MA0XUH0FXP001Q</t>
  </si>
  <si>
    <t>9121030011913564XP</t>
  </si>
  <si>
    <t>鞍山市千山区齐大山矿山机械配件厂</t>
  </si>
  <si>
    <t>LNGF_9121030011913564XP001W</t>
  </si>
  <si>
    <t>118886169</t>
  </si>
  <si>
    <t>辽宁科大东方巨业高级陶瓷有限公司</t>
  </si>
  <si>
    <t>dc62719f6da643b3afba944ef0296cf1</t>
  </si>
  <si>
    <t>463001990</t>
  </si>
  <si>
    <t>辽宁省鞍山水文局</t>
  </si>
  <si>
    <t>B61B0F9AC806495896AF5B9740BE89BD</t>
  </si>
  <si>
    <t>747130508</t>
  </si>
  <si>
    <t>鞍山新民进电脑印刷有限公司</t>
  </si>
  <si>
    <t>cbe2e07834d543898bd88e7638f8637f</t>
  </si>
  <si>
    <t>719617976</t>
  </si>
  <si>
    <t>鞍山华冠风机制造有限公司</t>
  </si>
  <si>
    <t>0adcc73ff0b04de4888731bea1ffbe40</t>
  </si>
  <si>
    <t>594843987</t>
  </si>
  <si>
    <t>亚世光电股份有限公司</t>
  </si>
  <si>
    <t>888F025424CF4A1AAE0685FF8BB8AFB7</t>
  </si>
  <si>
    <t>912103005</t>
  </si>
  <si>
    <t>辽宁衡业高科新材股份有限公司</t>
  </si>
  <si>
    <t>a5b73613b2874a2aa7c7c797dd35d6bb</t>
  </si>
  <si>
    <t>A0P5F956B</t>
  </si>
  <si>
    <t>鞍山迪冠邦钢缆防护剂制造有限公司</t>
  </si>
  <si>
    <t>210b0fae36034ab8bd6a0e1f49134542</t>
  </si>
  <si>
    <t>912103007</t>
  </si>
  <si>
    <t>鞍山市晋恒机械设备制造有限公司</t>
  </si>
  <si>
    <t>19babd8c014440be9a1715072323e758</t>
  </si>
  <si>
    <t>91210381241650098C</t>
  </si>
  <si>
    <t>海城三鱼泵业有限公司（海城铁西开发区厂区）</t>
  </si>
  <si>
    <t>LNGF_91210381241650098C002V</t>
  </si>
  <si>
    <t>941266994</t>
  </si>
  <si>
    <t>鞍钢重型机械有限责任公司灵山机械厂</t>
  </si>
  <si>
    <t>4e5afea784864c7eaa4e464a9d26d766</t>
  </si>
  <si>
    <t>鞍山宏源环能科技有限公司</t>
  </si>
  <si>
    <t>43940ec3e99347998a808865e0e7f8c6</t>
  </si>
  <si>
    <t>MA0UTJTF1</t>
  </si>
  <si>
    <t>德科斯米尔（鞍山）线束系统有限公司</t>
  </si>
  <si>
    <t>bac422598169435785a755c2d3d8b706</t>
  </si>
  <si>
    <t>31871410X</t>
  </si>
  <si>
    <t>亚世光电（鞍山）有限公司</t>
  </si>
  <si>
    <t>7878153452444f59817c4ef142c06829</t>
  </si>
  <si>
    <t>建筑业</t>
  </si>
  <si>
    <t>91210300241471030L</t>
  </si>
  <si>
    <t>鞍钢金属结构有限公司.</t>
  </si>
  <si>
    <t>91a3a629e1764d74974194a39527d297</t>
  </si>
  <si>
    <t>科学研究和技术服务业</t>
  </si>
  <si>
    <t>4143634XM</t>
  </si>
  <si>
    <t>鞍钢集团矿业设计研究院有限公司</t>
  </si>
  <si>
    <t>1de497f884c041918abcd32c1b5bbe34</t>
  </si>
  <si>
    <t>MA0XLUQT6</t>
  </si>
  <si>
    <t>辽宁天海津城装备制造有限公司</t>
  </si>
  <si>
    <t>533f8b8c4d7e46b4bd5515c87138665f</t>
  </si>
  <si>
    <t>726863702</t>
  </si>
  <si>
    <t>鞍山市达道湾污水处理有限责任公司</t>
  </si>
  <si>
    <t>AE37F22081904D6B857672571AD22658</t>
  </si>
  <si>
    <t>MA0QD22R0</t>
  </si>
  <si>
    <t>辽宁精诚检测技术有限公司</t>
  </si>
  <si>
    <t>5aee105f9d314cd7830bc9a0c340b76b</t>
  </si>
  <si>
    <t>13902495F</t>
  </si>
  <si>
    <t>鞍山市千山区宏德新型建材制砖厂</t>
  </si>
  <si>
    <t>79903ee97fd94b2c9323b96970fe59cb</t>
  </si>
  <si>
    <t>072175280</t>
  </si>
  <si>
    <t>海城市国正矿业有限公司</t>
  </si>
  <si>
    <t>6ee9f172b3ef471e9b30a587a5ccfbb7</t>
  </si>
  <si>
    <t>72686764X</t>
  </si>
  <si>
    <t>鞍山市中盈工业泵制造有限公司</t>
  </si>
  <si>
    <t>c96ddca481294edabe8a6746574e0922</t>
  </si>
  <si>
    <t>41423549M</t>
  </si>
  <si>
    <t>鞍钢实业集团乳业有限公司</t>
  </si>
  <si>
    <t>e8616d7cab554c99b2e3ee0894fa6aa8</t>
  </si>
  <si>
    <t>MA10LQ0L6</t>
  </si>
  <si>
    <t>岫岩满族自治县净源污水处理有限公司</t>
  </si>
  <si>
    <t>eb870d4e0ad948bbabc3c05c2cb69ee8</t>
  </si>
  <si>
    <t>912103007497624613</t>
  </si>
  <si>
    <t>鞍山锅炉厂有限公司</t>
  </si>
  <si>
    <t>e7a9128ca0b842fd9f9df8f6cf8d7964</t>
  </si>
  <si>
    <t>598426249</t>
  </si>
  <si>
    <t>鞍山贯邦环保新材料有限公司</t>
  </si>
  <si>
    <t>e6317ba092314c1cbaa8c94a9e7070bf</t>
  </si>
  <si>
    <t>A0Y015107</t>
  </si>
  <si>
    <t>鞍山德隆环保科技有限公司</t>
  </si>
  <si>
    <t>a670f9b977f84f6aa71ad4ee2b8b3572</t>
  </si>
  <si>
    <t>765406854</t>
  </si>
  <si>
    <t>鞍山市奥鞍耐火材料有限责任公司</t>
  </si>
  <si>
    <t>af063699b1724f268d779b16b55ff2fe</t>
  </si>
  <si>
    <t>701526590</t>
  </si>
  <si>
    <t>鞍山市中元密度板有限公司</t>
  </si>
  <si>
    <t>92d896ea5aae427ca2a89b9c527a0ccc</t>
  </si>
  <si>
    <t>683064294</t>
  </si>
  <si>
    <t>中国石油天然气股份有限公司辽宁鞍山海城开发区加油站</t>
  </si>
  <si>
    <t>026f98ebe22f42a599e8db5ac012f147</t>
  </si>
  <si>
    <t>36732319F</t>
  </si>
  <si>
    <t>中国石油天然气股份有限公司辽宁鞍山海城经营部牛庄加油站</t>
  </si>
  <si>
    <t>b9a40ab1567b4554a8a2a9051833aad0</t>
  </si>
  <si>
    <t>749778404</t>
  </si>
  <si>
    <t>鞍山市亿华化工有限公司</t>
  </si>
  <si>
    <t>0fb4ce58e80e47a0b3ee68c2f721cad5</t>
  </si>
  <si>
    <t>896912423</t>
  </si>
  <si>
    <t>鞍山安迪汽车销售服务有限公司</t>
  </si>
  <si>
    <t>d955cbba3d5341b8846bafa035ff8920</t>
  </si>
  <si>
    <t>558177649</t>
  </si>
  <si>
    <t>鞍山吉朗汽车销售服务有限公司</t>
  </si>
  <si>
    <t>734f4e570f874fee865cf53df66e4e69</t>
  </si>
  <si>
    <t>电力、热力、燃气及水生产和供应业</t>
  </si>
  <si>
    <t>MA0Y8FTL9</t>
  </si>
  <si>
    <t>台安农清污水处理有限公司</t>
  </si>
  <si>
    <t>adbcae5e5c454bac8ca3bd38addf7b12</t>
  </si>
  <si>
    <t>912103007387639873</t>
  </si>
  <si>
    <t>鞍山警顺金属制品有限公司</t>
  </si>
  <si>
    <t>231fcb2a1da24a8f907f0bb2f7fdc42e</t>
  </si>
  <si>
    <t>912103213</t>
  </si>
  <si>
    <t>台安桑德清源水务有限公司</t>
  </si>
  <si>
    <t>896dff71fe5d48b986ea313746f6c6f7</t>
  </si>
  <si>
    <t>701517176</t>
  </si>
  <si>
    <t>海城市博圣化工有限公司</t>
  </si>
  <si>
    <t>cabdd8d716124f95a018a501fc86d8bf</t>
  </si>
  <si>
    <t>A0U4GD02W</t>
  </si>
  <si>
    <t>经济开发区兴源钢结构厂</t>
  </si>
  <si>
    <t>ece5c4b53c6b4595a7c70915c2c521f9</t>
  </si>
  <si>
    <t>759132666</t>
  </si>
  <si>
    <t>鞍山绿苹果文具有限公司</t>
  </si>
  <si>
    <t>d4def9bb564f4067ae22da6a197fd050</t>
  </si>
  <si>
    <t>11916247X</t>
  </si>
  <si>
    <t>台安县化工有限责任公司</t>
  </si>
  <si>
    <t>a6eda85410c34ea4ab353912206d56eb</t>
  </si>
  <si>
    <t>654461005</t>
  </si>
  <si>
    <t>鞍山万通印务有限公司</t>
  </si>
  <si>
    <t>EA275A9CBB2F485A8A75DE2FDFEE1CE6</t>
  </si>
  <si>
    <t>居民服务、修理和其他服务业</t>
  </si>
  <si>
    <t>A0YCDH669</t>
  </si>
  <si>
    <t>鞍山鑫宇宸汽车销售服务有限公司</t>
  </si>
  <si>
    <t>cb6661fbc15a46d7b4f095f88414765d</t>
  </si>
  <si>
    <t>59804003H</t>
  </si>
  <si>
    <t>辽宁旺达汽车销售服务有限公司</t>
  </si>
  <si>
    <t>b3ee46a42a8c4ed39e9240d514673aab</t>
  </si>
  <si>
    <t>594813139</t>
  </si>
  <si>
    <t>鞍山清畅水务有限公司</t>
  </si>
  <si>
    <t>a36830c3843b4ac8a0d422d2e81526a7</t>
  </si>
  <si>
    <t>594813147</t>
  </si>
  <si>
    <t>鞍山清朗水务有限公司</t>
  </si>
  <si>
    <t>982f083526f2424ab54ea2ababadfb09</t>
  </si>
  <si>
    <t>118957094</t>
  </si>
  <si>
    <t>辽宁华通印刷有限公司</t>
  </si>
  <si>
    <t>d5d2ef96acdd498cbbfd8e7c85c62bea</t>
  </si>
  <si>
    <t>556716964</t>
  </si>
  <si>
    <t>鞍山市智全彩色印刷厂</t>
  </si>
  <si>
    <t>9a472497ab7b4c259e4c5489f50e43d1</t>
  </si>
  <si>
    <t>A0QFJJT2E</t>
  </si>
  <si>
    <t>鞍山市铁西区宏烽印务中心</t>
  </si>
  <si>
    <t>EF4DD4C74C884BD0BC930A1D8A1DC616</t>
  </si>
  <si>
    <t>123686786</t>
  </si>
  <si>
    <t>鞍山市奥新带钢有限公司</t>
  </si>
  <si>
    <t>b0c90def0a054f0283d82f524ce89a94</t>
  </si>
  <si>
    <t>38795225L</t>
  </si>
  <si>
    <t>中国石油天然气股份有限公司辽宁鞍山九道街加油站</t>
  </si>
  <si>
    <t>a0dc64a4a17240619e95e4dc6792b829</t>
  </si>
  <si>
    <t>12369978X</t>
  </si>
  <si>
    <t>鞍山源鑫钢铁有限公司</t>
  </si>
  <si>
    <t>e73c94e469a447d4aa57efdf81901ad0</t>
  </si>
  <si>
    <t>25665261X</t>
  </si>
  <si>
    <t>中国石油天然气股份有限公司辽宁鞍山二台子加油站</t>
  </si>
  <si>
    <t>1e961ce7055e4ba6b92770f219a3e45a</t>
  </si>
  <si>
    <t>760071258</t>
  </si>
  <si>
    <t>辽宁九夷能源科技有限公司</t>
  </si>
  <si>
    <t>3ebb8599520d47b08469444adb10d6f1</t>
  </si>
  <si>
    <t>09637724X</t>
  </si>
  <si>
    <t>岫岩满族自治县东森木业有限公司</t>
  </si>
  <si>
    <t>f80e477b36c54a3583a78e0b2580fd3c</t>
  </si>
  <si>
    <t>497526699</t>
  </si>
  <si>
    <t>鞍山龙生汽车修配有限公司</t>
  </si>
  <si>
    <t>a67fe8a9583842618e3e54c6e88a4edd</t>
  </si>
  <si>
    <t>318611303</t>
  </si>
  <si>
    <t>鞍山市和泰翔达汽车贸易有限公司</t>
  </si>
  <si>
    <t>c5dacebef5ac442d97dbde7e67e2dee0</t>
  </si>
  <si>
    <t>594847347</t>
  </si>
  <si>
    <t>鞍山市中升汽车销售服务有限公司</t>
  </si>
  <si>
    <t>df40a2b2ebcc450db2706705ca3f091a</t>
  </si>
  <si>
    <t>785124539</t>
  </si>
  <si>
    <t>鞍山海量精密铸业制造有限公司</t>
  </si>
  <si>
    <t>f748dc630bb441b7810aba27afac9fae</t>
  </si>
  <si>
    <t>590901289</t>
  </si>
  <si>
    <t>鞍山天清水务有限公司</t>
  </si>
  <si>
    <t>bf9a243c137a46ca91768217330a90e2</t>
  </si>
  <si>
    <t>912103009</t>
  </si>
  <si>
    <t>鞍钢重型机械有限责任公司冶炼设备制造厂</t>
  </si>
  <si>
    <t>f338b4ea7e004d0faa6e99bc0690816a</t>
  </si>
  <si>
    <t>912103045</t>
  </si>
  <si>
    <t>鞍山市立山区君强汽车修理厂</t>
  </si>
  <si>
    <t>24df7769e41a475c80c6a22c8221905c</t>
  </si>
  <si>
    <t>318863447</t>
  </si>
  <si>
    <t>鞍山华亿表面处理有限公司</t>
  </si>
  <si>
    <t>0f1a2781c84f48e98193a7572d42067b</t>
  </si>
  <si>
    <t>771428347</t>
  </si>
  <si>
    <t>辽宁爱母医疗科技有限公司</t>
  </si>
  <si>
    <t>d5edc522722340fdb8a9adc6ca1307da</t>
  </si>
  <si>
    <t>603654628</t>
  </si>
  <si>
    <t>鞍山永安包装工业有限公司</t>
  </si>
  <si>
    <t>3dbb274ce0734c8ba13e9fc781d4cd4c</t>
  </si>
  <si>
    <t>台安桑德水务有限公司</t>
  </si>
  <si>
    <t>1b9325e3433440129f26173692431477</t>
  </si>
  <si>
    <t>MA10HLAP7</t>
  </si>
  <si>
    <t>鞍山鑫顺诚汽车销售服务有限公司</t>
  </si>
  <si>
    <t>06875f1045d645efa9143e269581d4e7</t>
  </si>
  <si>
    <t>交通运输、仓储和邮政业</t>
  </si>
  <si>
    <t>71960960X</t>
  </si>
  <si>
    <t>鞍钢重型机械有限责任公司汽车运输分公司</t>
  </si>
  <si>
    <t>561f406a93d44e64b5732e48fc447306</t>
  </si>
  <si>
    <t>鞍山市达道湾污水处理有限责任公司判甲炉分厂</t>
  </si>
  <si>
    <t>1c8f354a5ed24b2aa3ae4d4d237ebdfd</t>
  </si>
  <si>
    <t>912103047</t>
  </si>
  <si>
    <t>鞍山市立山区凯奔得汽配中心</t>
  </si>
  <si>
    <t>9a80d7af19484afc90d50cd660ead154</t>
  </si>
  <si>
    <t>076266366</t>
  </si>
  <si>
    <t>鞍山市中悦汽车销售服务有限公司</t>
  </si>
  <si>
    <t>617519a9b8cb4a64a944694ef2be8ecb</t>
  </si>
  <si>
    <t>24144370X</t>
  </si>
  <si>
    <t>5122164097fb4948855c50d5c2a1e58e</t>
  </si>
  <si>
    <t>MA0QCLUF7</t>
  </si>
  <si>
    <t>辽宁九夷锂能股份有限公司</t>
  </si>
  <si>
    <t>5176d78049fa490882c7c7f138d469fc</t>
  </si>
  <si>
    <t>664570436</t>
  </si>
  <si>
    <t>鞍山北方马自达汽车销售服务有限公司</t>
  </si>
  <si>
    <t>76A9DF82B543483591807F95523D67E6</t>
  </si>
  <si>
    <t>749777743</t>
  </si>
  <si>
    <t>完达山鞍山乳品有限公司</t>
  </si>
  <si>
    <t>71b93c9a66704f69a3619b735290dd47</t>
  </si>
  <si>
    <t>059842261</t>
  </si>
  <si>
    <t>辽宁全盛有色金属有限公司</t>
  </si>
  <si>
    <t>13329166e2354c3cb390054f653a1614</t>
  </si>
  <si>
    <t>91210303097010650W</t>
  </si>
  <si>
    <t>389ebde3525741ea9b2b3126163fa13d</t>
  </si>
  <si>
    <t>517647487</t>
  </si>
  <si>
    <t>鞍钢建设剥岩工程有限公司</t>
  </si>
  <si>
    <t>D92866DB9E0143D3927A1492482AD0B5</t>
  </si>
  <si>
    <t>912103009412914608</t>
  </si>
  <si>
    <t>鞍钢矿业能源管控中心</t>
  </si>
  <si>
    <t>1a0564eaa4d24b0c8d0741d9f4b1a7b6</t>
  </si>
  <si>
    <t>鞍山钢铁集团耐火材料有限公司</t>
  </si>
  <si>
    <t>e91f5669d8bf45b0a8839dede82a8626</t>
  </si>
  <si>
    <t>91210304M</t>
  </si>
  <si>
    <t>鞍山市仁车知道汽车销售服务有限公司</t>
  </si>
  <si>
    <t>50cd050452284a1ab632c34ec534300d</t>
  </si>
  <si>
    <t>后英集团海城钢铁有限公司大屯分公司</t>
  </si>
  <si>
    <t>ddad8e8224cf4c3b8663a45cc0fcf77c</t>
  </si>
  <si>
    <t>744343671</t>
  </si>
  <si>
    <t>鞍山拜尔自控有限公司</t>
  </si>
  <si>
    <t>9d6449988c7a434e8a6e23849c308cc3</t>
  </si>
  <si>
    <t>744307929</t>
  </si>
  <si>
    <t>鞍山市鞍奇汽车贸易有限公司</t>
  </si>
  <si>
    <t>369998570cb54a61870ce7a16f6754d5</t>
  </si>
  <si>
    <t>558176072</t>
  </si>
  <si>
    <t>鞍山米兰发展有限公司</t>
  </si>
  <si>
    <t>37c6f453c03443ae848e2cf641a307a2</t>
  </si>
  <si>
    <t>941265369</t>
  </si>
  <si>
    <t>鞍钢重型机械有限责任公司金属结构厂</t>
  </si>
  <si>
    <t>8a488e79386345ae8de912d0954a7f82</t>
  </si>
  <si>
    <t>395479131</t>
  </si>
  <si>
    <t>北控（鞍山）水务有限公司</t>
  </si>
  <si>
    <t>762c60e6d38d4ba08b96a59932984aa7</t>
  </si>
  <si>
    <t>25687858J</t>
  </si>
  <si>
    <t>鞍山市丰林精密锻压件有限公司</t>
  </si>
  <si>
    <t>785c879a442b40f196fda9822a06a1a8</t>
  </si>
  <si>
    <t>765431419</t>
  </si>
  <si>
    <t>鞍山市南星汽车销售服务有限公司</t>
  </si>
  <si>
    <t>5A945DA6C33C4EC3BDC189B0889CA393</t>
  </si>
  <si>
    <t>692666726</t>
  </si>
  <si>
    <t>维达纸业（辽宁）有限公司</t>
  </si>
  <si>
    <t>e8da858cf81f4706b20c8b7de4eb1ef7</t>
  </si>
  <si>
    <t>MA0QD3HD4</t>
  </si>
  <si>
    <t>鞍钢（鞍山）冶金粉材有限公司</t>
  </si>
  <si>
    <t>ff51fd94d4704374984dd68b176c9a04</t>
  </si>
  <si>
    <t>752795061</t>
  </si>
  <si>
    <t>海城渤海环境工程有限公司</t>
  </si>
  <si>
    <t>946729ea5f674ed7adc86245124fcdfa</t>
  </si>
  <si>
    <t>191754816</t>
  </si>
  <si>
    <t>辽宁康博士制药有限公司</t>
  </si>
  <si>
    <t>6ad181d8606045b38e8d6b1bd0375a68</t>
  </si>
  <si>
    <t>941267815</t>
  </si>
  <si>
    <t>鞍钢重型机械有限责任公司锻造厂</t>
  </si>
  <si>
    <t>1185b7b9211e4ba5b9b3e6496eec41e4</t>
  </si>
  <si>
    <t>723704431</t>
  </si>
  <si>
    <t>青岛啤酒（鞍山）有限公司</t>
  </si>
  <si>
    <t>a9f5f3cf188849a68434c9d9821b8413</t>
  </si>
  <si>
    <t>680054562</t>
  </si>
  <si>
    <t>辽宁银恒镀锌彩涂钢板有限公司</t>
  </si>
  <si>
    <t>b500538566344e08823afd0779946a90</t>
  </si>
  <si>
    <t>256967541</t>
  </si>
  <si>
    <t>鞍山钢花焊材有限公司</t>
  </si>
  <si>
    <t>27e54e48252c4172a6c26b78bfe76104</t>
  </si>
  <si>
    <t>A0XU28K0G</t>
  </si>
  <si>
    <t>鞍山耐邦化工有限公司</t>
  </si>
  <si>
    <t>268e09a60fb0416a8b4463197314c7a1</t>
  </si>
  <si>
    <t>794813838</t>
  </si>
  <si>
    <t>鞍山荣威汽车销售服务有限公司</t>
  </si>
  <si>
    <t>8afc1a07c729450f91d7322322a30d25</t>
  </si>
  <si>
    <t>781648167</t>
  </si>
  <si>
    <t>辽宁鑫路鑫汽车销售服务有限公司</t>
  </si>
  <si>
    <t>842c60365c324db4bdbadd3df66c9e4b</t>
  </si>
  <si>
    <t>91210300716418509F</t>
  </si>
  <si>
    <t>鞍钢集团矿业有限公司综合产业发展分公司</t>
  </si>
  <si>
    <t>b965149422e0413eb13d834fe1e51638</t>
  </si>
  <si>
    <t>759114564</t>
  </si>
  <si>
    <t>聚龙股份有限公司</t>
  </si>
  <si>
    <t>9d84a4eb118b4d3292a38ce07809b9f4</t>
  </si>
  <si>
    <t>785121848</t>
  </si>
  <si>
    <t>鞍山城市水务运营有限公司</t>
  </si>
  <si>
    <t>5322429709d248ed85af3dd3e1951e0f</t>
  </si>
  <si>
    <t>701528350</t>
  </si>
  <si>
    <t>华润雪花啤酒（ 鞍山 ）有限公司</t>
  </si>
  <si>
    <t>FB2EEAA0709F41F89930D78CF9C51797</t>
  </si>
  <si>
    <t>941265406</t>
  </si>
  <si>
    <t>鞍钢房产建设有限公司机运分公司</t>
  </si>
  <si>
    <t>8C53F43B23D3435788EB40C2CA54CCC2</t>
  </si>
  <si>
    <t>772431548</t>
  </si>
  <si>
    <t>鞍山众逸汽车销售服务有限公司</t>
  </si>
  <si>
    <t>cfc7253a3b994e139dac9482f3df5fde</t>
  </si>
  <si>
    <t>241446388</t>
  </si>
  <si>
    <t>中钢集团鞍山热能研究院有限公司</t>
  </si>
  <si>
    <t>5102aa27135b4648b71d7f9a70e6cd9c</t>
  </si>
  <si>
    <t>74283046F</t>
  </si>
  <si>
    <t>鞍山亿通汽车销售服务有限公司</t>
  </si>
  <si>
    <t>07bef7f51726457cbd225d19880782f5</t>
  </si>
  <si>
    <t>鞍山市立山区新凯奔得汽车修理厂</t>
  </si>
  <si>
    <t>29d219818efc4c58940eb6bd7b59ba76</t>
  </si>
  <si>
    <t>中钢集团鞍山热能研究院有限公司（经开区院区）</t>
  </si>
  <si>
    <t>edcc7087e76345459e2177bce9669f7f</t>
  </si>
  <si>
    <t>701507031</t>
  </si>
  <si>
    <t>鞍山市天长化工有限公司</t>
  </si>
  <si>
    <t>4df1bbe6ee694f2791971f4089f5ddae</t>
  </si>
  <si>
    <t>MA0UTG540</t>
  </si>
  <si>
    <t>铁东区鑫田园汽车修理厂</t>
  </si>
  <si>
    <t>e5b7e48dba54451781538bacc5ff0750</t>
  </si>
  <si>
    <t>7425128X5</t>
  </si>
  <si>
    <t>鞍山东亿汽车销售服务有限公司</t>
  </si>
  <si>
    <t>A08F1BB17D9046B8B364DE04ACBD4113</t>
  </si>
  <si>
    <t>84717697P</t>
  </si>
  <si>
    <t>鞍山市一奥汽车服务有限公司</t>
  </si>
  <si>
    <t>234FAFF6EA884E178CC5BC13F8FA0130</t>
  </si>
  <si>
    <t>教育</t>
  </si>
  <si>
    <t>463173178</t>
  </si>
  <si>
    <t>辽宁科技大学</t>
  </si>
  <si>
    <t>9f121a9b90024f478780466920de67d3</t>
  </si>
  <si>
    <t>777742087</t>
  </si>
  <si>
    <t>鞍山市逯星汽车销售服务有限公司</t>
  </si>
  <si>
    <t>505580DC0A8144A6A3511653658177A7</t>
  </si>
  <si>
    <t>8415247X6</t>
  </si>
  <si>
    <t>鞍山现代软包装有限公司</t>
  </si>
  <si>
    <t>b8c8869a27b740038e8406e2b526f331</t>
  </si>
  <si>
    <t>443420386</t>
  </si>
  <si>
    <t>鞍山衡业专用汽车制造有限公司</t>
  </si>
  <si>
    <t>cbf4a31659384bc98e801344fe30708e</t>
  </si>
  <si>
    <t>65438442U</t>
  </si>
  <si>
    <t>中国石化销售股份有限公司辽宁鞍山石油分公司</t>
  </si>
  <si>
    <t>9AF658B3BC064AB49C17DBC9DF49D770</t>
  </si>
  <si>
    <t>765449336</t>
  </si>
  <si>
    <t>鞍山森远路桥股份有限公司</t>
  </si>
  <si>
    <t>71f5979e3939419aa87a6af1206a8ccc</t>
  </si>
  <si>
    <t>581883566</t>
  </si>
  <si>
    <t>鞍山和佳汽车销售服务有限公司</t>
  </si>
  <si>
    <t>c7070c532d9d4c34becb2e58ff346c18</t>
  </si>
  <si>
    <t>MA0QEL9U7</t>
  </si>
  <si>
    <t>鞍山市九州丰田汽车销售服务有限公司</t>
  </si>
  <si>
    <t>2851D672C2CD45A5AAD58A87EB65F2FB</t>
  </si>
  <si>
    <t>577239489</t>
  </si>
  <si>
    <t>鞍山天广美诚汽车销售服务有限公司</t>
  </si>
  <si>
    <t>66f550f8af3b46d18aae46b8da26d3d0</t>
  </si>
  <si>
    <t>59803780B</t>
  </si>
  <si>
    <t>海城南环丰田汽车销售服务有限公司</t>
  </si>
  <si>
    <t>22738743689547258c1aadbe657f7581</t>
  </si>
  <si>
    <t>119151260</t>
  </si>
  <si>
    <t>后英集团鞍山活龙矿业有限公司</t>
  </si>
  <si>
    <t>1e01ba99e1df4d68b4e2d8602c216312</t>
  </si>
  <si>
    <t>90127561K</t>
  </si>
  <si>
    <t>海城市泰利橡胶助剂有限公司</t>
  </si>
  <si>
    <t>b1b162344a4b4d9f85f0006dfa28911d</t>
  </si>
  <si>
    <t>19678541T</t>
  </si>
  <si>
    <t>鞍山洪川特种钢管有限公司</t>
  </si>
  <si>
    <t>c52d018bb50b4182a39684e07c90154c</t>
  </si>
  <si>
    <t>MA0XY6KL8</t>
  </si>
  <si>
    <t>鞍钢废钢资源（鞍山）有限公司</t>
  </si>
  <si>
    <t>807156557b004fcdb70ff1ecddf5557d</t>
  </si>
  <si>
    <t>MA0U7LT8X</t>
  </si>
  <si>
    <t>鞍山市立山区鑫光大汽车修理厂</t>
  </si>
  <si>
    <t>658b866b52d74cbd8074a24eb919f6cf</t>
  </si>
  <si>
    <t>MA0XKKDR4</t>
  </si>
  <si>
    <t>辽宁弘业永盛包装有限公司</t>
  </si>
  <si>
    <t>00876c2ad1d54aefbe913dedd420e95b</t>
  </si>
  <si>
    <t>21184133003</t>
  </si>
  <si>
    <t>鞍钢集团矿业公司质量计量中心</t>
  </si>
  <si>
    <t>10ec940eae024c39a91666d74e979c18</t>
  </si>
  <si>
    <t>MAOTUJ2L3</t>
  </si>
  <si>
    <t>鞍山泰格金属制品有限公司</t>
  </si>
  <si>
    <t>4BFC600D9B334172A99D670C7D6C1A53</t>
  </si>
  <si>
    <t>A0YPDDD9K</t>
  </si>
  <si>
    <t>鞍山合卓汽车销售服务有限公司</t>
  </si>
  <si>
    <t>872edad110624c6c82cc62a03a3d5835</t>
  </si>
  <si>
    <t>794837274</t>
  </si>
  <si>
    <t>亨特利（海城）镁矿有限公司</t>
  </si>
  <si>
    <t>d1a2969661204471bd04041e50d116fb</t>
  </si>
  <si>
    <t>683086773</t>
  </si>
  <si>
    <t>鞍钢矿业爆破有限公司</t>
  </si>
  <si>
    <t>30432B1FFF3047A29E6B15FC28BD5D7F</t>
  </si>
  <si>
    <t>742679516</t>
  </si>
  <si>
    <t>鞍山汇阳汽车销售服务有限公司</t>
  </si>
  <si>
    <t>1CDB8578C5BE4D1BA2486164CECBA83F</t>
  </si>
  <si>
    <t>761843408</t>
  </si>
  <si>
    <t>辽宁福鞍重工股份有限公司</t>
  </si>
  <si>
    <t>0F9686C1884640D39364A59B8A62F134</t>
  </si>
  <si>
    <t>MAI09DQL0</t>
  </si>
  <si>
    <t>鞍山和宜汽车销售服务有限公司</t>
  </si>
  <si>
    <t>3a9e2d4104f1481498c98047e1f4e3fa</t>
  </si>
  <si>
    <t>400011876</t>
  </si>
  <si>
    <t>鞍钢集团矿业有限公司眼前山分公司</t>
  </si>
  <si>
    <t>6809d4a4d9a7495abdf64c896e17b69f</t>
  </si>
  <si>
    <t>673794714</t>
  </si>
  <si>
    <t>鞍山重型矿山机器股份有限公司</t>
  </si>
  <si>
    <t>07a1eaab3798407b95150d8f3ac04f0f</t>
  </si>
  <si>
    <t>701515314</t>
  </si>
  <si>
    <t>辽宁海华科技股份有限公司</t>
  </si>
  <si>
    <t>c4fa8c7b333d48a7974e25c88b54a8bd</t>
  </si>
  <si>
    <t>673786677</t>
  </si>
  <si>
    <t>鞍山和鑫汽车销售服务有限公司</t>
  </si>
  <si>
    <t>3de0648199ed48a5a99f32cf96f4c464</t>
  </si>
  <si>
    <t>79481382X</t>
  </si>
  <si>
    <t>鞍山新菱汽车销售服务有限公司</t>
  </si>
  <si>
    <t>fc4e87a6db7c4ca5b24fc7d2c0a5ff79</t>
  </si>
  <si>
    <t>196093277</t>
  </si>
  <si>
    <t>鞍山市量子炉材集团有限公司</t>
  </si>
  <si>
    <t>eba6e6fdc8ba40febcdce42b4add53a0</t>
  </si>
  <si>
    <t>728421764</t>
  </si>
  <si>
    <t>鞍山天合汽车销售服务有限公司</t>
  </si>
  <si>
    <t>BC5C268356A3460CA1ADCBC70F509B6F</t>
  </si>
  <si>
    <t>64075650B</t>
  </si>
  <si>
    <t>鞍山盛哲汽车销售服务有限公司</t>
  </si>
  <si>
    <t>1756F3B73BAF48788EFADD68D5763CE7</t>
  </si>
  <si>
    <t>740793683</t>
  </si>
  <si>
    <t>鞍山市牧欧汽车销售服务有限公司</t>
  </si>
  <si>
    <t>99c6947b9f724f9e951002d71e72349b</t>
  </si>
  <si>
    <t>118895276</t>
  </si>
  <si>
    <t>鞍山市宏图防腐工程有限公司</t>
  </si>
  <si>
    <t>0b6c07916e524b27beb9a3857dedf073</t>
  </si>
  <si>
    <t>761841090</t>
  </si>
  <si>
    <t>鞍山东尼</t>
  </si>
  <si>
    <t>36fe875cce524afca0ab1d2d6111ae96</t>
  </si>
  <si>
    <t>英威高级陶瓷（鞍山）有限公司</t>
  </si>
  <si>
    <t>3db602aac57d4bf6b1eaab30e85000c5</t>
  </si>
  <si>
    <t>31905684X</t>
  </si>
  <si>
    <t>鞍山春禾金属制品有限公司</t>
  </si>
  <si>
    <t>bfc30bc7eeff43a0965b68b0118abe7e</t>
  </si>
  <si>
    <t>91210300941293167B</t>
  </si>
  <si>
    <t>鞍钢集团矿业有限公司矿用物资分公司</t>
  </si>
  <si>
    <t>2616169d769b440f90687b1e1d1ffe39</t>
  </si>
  <si>
    <t>241486523</t>
  </si>
  <si>
    <t>鞍山市汽车回收有限公司</t>
  </si>
  <si>
    <t>43a1f7c2ad294507885d6f6ffa8f935a</t>
  </si>
  <si>
    <t>4077858xw</t>
  </si>
  <si>
    <t>鞍山冀东水泥有限责任公司</t>
  </si>
  <si>
    <t>C8B94988F18A4F319733C6CEFAEFEB66</t>
  </si>
  <si>
    <t>73778810A</t>
  </si>
  <si>
    <t>鞍山和润德汽车销售服务有限公司</t>
  </si>
  <si>
    <t>D8B94A868749444AB489169033848C7C</t>
  </si>
  <si>
    <t>47115164E</t>
  </si>
  <si>
    <t>鞍山圣罗佳高压器件有限公司</t>
  </si>
  <si>
    <t>8D644C19E4984C55B4CC32086F0FB5AD</t>
  </si>
  <si>
    <t>912103006</t>
  </si>
  <si>
    <t>中国电信股份有限公司鞍山分公司</t>
  </si>
  <si>
    <t>9ea137afd8eb416eae9e421a5639b91c</t>
  </si>
  <si>
    <t>797660988</t>
  </si>
  <si>
    <t>鞍山彭立伟钢绳有限公司</t>
  </si>
  <si>
    <t>303ed139d6ee4005b497456283fde562</t>
  </si>
  <si>
    <t>412185463</t>
  </si>
  <si>
    <t>鞍钢集团（鞍山）铁路运输设备制造有限公司</t>
  </si>
  <si>
    <t>9D2ECC4BCA00415190760CFD33DAD8E9</t>
  </si>
  <si>
    <t>412914795</t>
  </si>
  <si>
    <t>鞍钢建设集团有限公司汽车吊装运输分公司</t>
  </si>
  <si>
    <t>717D5DE25A624EC288D7DBA7B97C4D48</t>
  </si>
  <si>
    <t>41422597D</t>
  </si>
  <si>
    <t>鞍山冶金集团车辆制造有限公司</t>
  </si>
  <si>
    <t>85c5cc407f514ac4b425b2c4f00c2ddb</t>
  </si>
  <si>
    <t>721755120</t>
  </si>
  <si>
    <t>鞍山尊荣捷路汽车贸易有限公司</t>
  </si>
  <si>
    <t>7ED1FB0C54674DEA9573249FBBBA88BD</t>
  </si>
  <si>
    <t>MA0QEX1J9</t>
  </si>
  <si>
    <t>鞍钢轧辊有限公司</t>
  </si>
  <si>
    <t>557483B584DA4F15AAF5D1BF039814D7</t>
  </si>
  <si>
    <t>055654562</t>
  </si>
  <si>
    <t>9171BC947A7A4BDF8A677E063054128A</t>
  </si>
  <si>
    <t>77214214R</t>
  </si>
  <si>
    <t>鞍山衡业雷克萨斯汽车销售服务有限公司</t>
  </si>
  <si>
    <t>51AA1E27C6764D289C9D7866D1E86838</t>
  </si>
  <si>
    <t>791583117</t>
  </si>
  <si>
    <t>鞍山华宝汽车销售服务有限公司</t>
  </si>
  <si>
    <t>ca5f4c09e3344202b90cb5a1635e06f1</t>
  </si>
  <si>
    <t>412672337</t>
  </si>
  <si>
    <t>鞍钢重型机械有限责任公司北部机械厂</t>
  </si>
  <si>
    <t>f91bc91b1f434c46bd61951f12103ac5</t>
  </si>
  <si>
    <t>A0YR1614P</t>
  </si>
  <si>
    <t>0d0e96b701b146ada86dbbcf8235b478</t>
  </si>
  <si>
    <t>055670685</t>
  </si>
  <si>
    <t>海城海鸣矿业有限责任公司</t>
  </si>
  <si>
    <t>36064fc9566a479e80470127e13a1d95</t>
  </si>
  <si>
    <t>729077408</t>
  </si>
  <si>
    <t>海城市美菱氧化镁厂</t>
  </si>
  <si>
    <t>146cc2f761e64cb6814fe8ac57917f82</t>
  </si>
  <si>
    <t>68661847X</t>
  </si>
  <si>
    <t>鞍钢栗田（鞍山）水处理有限公司</t>
  </si>
  <si>
    <t>7882bb1bacac4fe7a7628f560f33bd03</t>
  </si>
  <si>
    <t>119138656</t>
  </si>
  <si>
    <t>鞍钢实业集团冶金机械有限公司</t>
  </si>
  <si>
    <t>300847573A214CA0B8BD19285BD9E4CE</t>
  </si>
  <si>
    <t>744313675</t>
  </si>
  <si>
    <t>辽宁鑫通汽车销售服务有限公司</t>
  </si>
  <si>
    <t>224489B90C6B47569BABFD3FBBBD7DC6</t>
  </si>
  <si>
    <t>79484794X</t>
  </si>
  <si>
    <t>鞍山四隆之星汽车销售服务有限公司</t>
  </si>
  <si>
    <t>c313606b64f947e68fda0cb6c0d3dddd</t>
  </si>
  <si>
    <t>941265019</t>
  </si>
  <si>
    <t>鞍钢建设集团有限公司结构安装工程分公司</t>
  </si>
  <si>
    <t>92c30f09a93e4210852503eaf5bfb301</t>
  </si>
  <si>
    <t>941292324</t>
  </si>
  <si>
    <t>鞍山钢铁集团有限公司大孤山球团厂</t>
  </si>
  <si>
    <t>537625801851402ca0d9883a0050e386</t>
  </si>
  <si>
    <t>030011888</t>
  </si>
  <si>
    <t>辽宁味邦生物制药有限公司</t>
  </si>
  <si>
    <t>7d4c7591e52a4198819aa9f69055c802</t>
  </si>
  <si>
    <t>241455209</t>
  </si>
  <si>
    <t>鞍钢实业集团（鞍山）设备运维有限公司</t>
  </si>
  <si>
    <t>4470996f65fb4b0e866c6a3ffdf82597</t>
  </si>
  <si>
    <t>941293490</t>
  </si>
  <si>
    <t>鞍钢矿山机械制造有限公司</t>
  </si>
  <si>
    <t>2e0ae7bc88cc467ba227db0bf7971ccc</t>
  </si>
  <si>
    <t>552558686</t>
  </si>
  <si>
    <t>中国三冶集团有限公司结构制造安装工程公司</t>
  </si>
  <si>
    <t>2f707f497c1241a4aa2d833fadfdb01e</t>
  </si>
  <si>
    <t>941293124</t>
  </si>
  <si>
    <t>鞍钢集团有限公司齐大山选矿厂</t>
  </si>
  <si>
    <t>94477ce7bc03464b898278b828ff56b6</t>
  </si>
  <si>
    <t>94129328X</t>
  </si>
  <si>
    <t>鞍山钢铁集团有限公司东鞍山烧结厂</t>
  </si>
  <si>
    <t>1f5cfbdbb2b04d2e9f5b7e496559ccc0</t>
  </si>
  <si>
    <t>MA0XQD3N1</t>
  </si>
  <si>
    <t>鞍钢绿色资源科技有限公司</t>
  </si>
  <si>
    <t>8ba91bc84a7040319288bc2ec4d31cc4</t>
  </si>
  <si>
    <t>68332191C</t>
  </si>
  <si>
    <t>海城市银峰镁制品有限公司</t>
  </si>
  <si>
    <t>22991d217c0644baad8cfa96a22ba954</t>
  </si>
  <si>
    <t>527511731</t>
  </si>
  <si>
    <t>鞍山衡业汽车销售服务有限公司</t>
  </si>
  <si>
    <t>FEF71D53B7354331852B753790B54433</t>
  </si>
  <si>
    <t>768302276</t>
  </si>
  <si>
    <t>鞍山北方丰田汽车销售服务有限公司</t>
  </si>
  <si>
    <t>6173E1313CD04D29BF01FDD305CC4807</t>
  </si>
  <si>
    <t>5911154XC</t>
  </si>
  <si>
    <t>翔鹭化纤（海城）有限公司</t>
  </si>
  <si>
    <t>38A76EB0A4E3450786A0FF0B93791CC0</t>
  </si>
  <si>
    <t>28395586J</t>
  </si>
  <si>
    <t>25b6e119235f4dcba1cfec7b5cc6ee2f</t>
  </si>
  <si>
    <t>941215919</t>
  </si>
  <si>
    <t>97e87437b1444b09a5dd6e17aca2d1a3</t>
  </si>
  <si>
    <t>7216379XB</t>
  </si>
  <si>
    <t>海城市鼎晟矿业有限公司</t>
  </si>
  <si>
    <t>66a5c78fadc846d9a0a4612521c3c13b</t>
  </si>
  <si>
    <t>91210321M</t>
  </si>
  <si>
    <t>鞍山科顺建筑材料有限公司</t>
  </si>
  <si>
    <t>89f13b9c7c1f46048547d6f2e199cdba</t>
  </si>
  <si>
    <t>318858664</t>
  </si>
  <si>
    <t>海城市铭伦镁制品制造有限公司</t>
  </si>
  <si>
    <t>3f89d1780cd14254950e95a899bbfad5</t>
  </si>
  <si>
    <t>759112972</t>
  </si>
  <si>
    <t>鞍山金和矿业有限公司</t>
  </si>
  <si>
    <t>0a6d45818fd04451a2b2f93b6c317532</t>
  </si>
  <si>
    <t>86619528X</t>
  </si>
  <si>
    <t>鞍山钢铁冶金炉材科技有限公司</t>
  </si>
  <si>
    <t>02160ffe69c742d68c48d317f1524113</t>
  </si>
  <si>
    <t>120373573</t>
  </si>
  <si>
    <t>岫岩满族自治县益镁有限责任公司</t>
  </si>
  <si>
    <t>dcb0588fc4b649da8087d8e921659aa0</t>
  </si>
  <si>
    <t>941292594</t>
  </si>
  <si>
    <t>鞍钢集团矿业有限公司大孤山分公司</t>
  </si>
  <si>
    <t>905e94394b03426c98952b535b76e777</t>
  </si>
  <si>
    <t>716484362</t>
  </si>
  <si>
    <t>中国石油辽河油田兴隆台采油厂</t>
  </si>
  <si>
    <t>ce6b6513809a4d4b9d246d0ac7b2df91</t>
  </si>
  <si>
    <t>鞍山钢铁集团有限公司第二发电厂</t>
  </si>
  <si>
    <t>90c86aa5a55346b9874bb8d9a47e7041</t>
  </si>
  <si>
    <t>8510209X2</t>
  </si>
  <si>
    <t>海城市祥程矿业有限公司</t>
  </si>
  <si>
    <t>67264E2A7CC540D5BC7587D897326814</t>
  </si>
  <si>
    <t>5258143XR</t>
  </si>
  <si>
    <t>鞍山众兴标准件有限公司</t>
  </si>
  <si>
    <t>a25edbd9b04d4c63881864c24704704f</t>
  </si>
  <si>
    <t>24150404X</t>
  </si>
  <si>
    <t>鞍钢集团矿业有限公司</t>
  </si>
  <si>
    <t>0ecfcb94643641ab974afd82ae820ae7</t>
  </si>
  <si>
    <t>096373126</t>
  </si>
  <si>
    <t>鞍钢铸钢有限公司</t>
  </si>
  <si>
    <t>143589382c204efcb0c80bfde0eb43d2</t>
  </si>
  <si>
    <t>976960166</t>
  </si>
  <si>
    <t>鞍钢矿山汽车运输有限公司</t>
  </si>
  <si>
    <t>5FA501FD42924FFDA06B6AEEDE7F18F1</t>
  </si>
  <si>
    <t>4147651XR</t>
  </si>
  <si>
    <t>鞍山市交通运输集团有限公司</t>
  </si>
  <si>
    <t>9834759764A74784A9C061490E9572E3</t>
  </si>
  <si>
    <t>鞍钢集团矿业有限公司东鞍山分公司</t>
  </si>
  <si>
    <t>6477dca1fc5741fc8dd8fd66e0a48a7b</t>
  </si>
  <si>
    <t>732299757</t>
  </si>
  <si>
    <t>5be68839bd65420a918fc4f796701e23</t>
  </si>
  <si>
    <t>725672146</t>
  </si>
  <si>
    <t>中国移动通信集团辽宁有限公司鞍山分公司</t>
  </si>
  <si>
    <t>3ed5680df1844fd9ae562975e17b59af</t>
  </si>
  <si>
    <t>912103811</t>
  </si>
  <si>
    <t>0E77356D750D403D8FA61C0D7CCC89B8</t>
  </si>
  <si>
    <t>07626028X</t>
  </si>
  <si>
    <t>海城屹弘冶金炉料制造有限公司</t>
  </si>
  <si>
    <t>b3de939f2def4c1499cc460f8899446d</t>
  </si>
  <si>
    <t>397879075</t>
  </si>
  <si>
    <t>鞍钢神钢冷轧高强汽车钢板有限公司</t>
  </si>
  <si>
    <t>37681069c7f344cb81d9266b8b9987da</t>
  </si>
  <si>
    <t>MA0XN47M8</t>
  </si>
  <si>
    <t>255a1ee696d04621b686aae3daef446b</t>
  </si>
  <si>
    <t>064060889</t>
  </si>
  <si>
    <t>海城市嘉祥矿产品制造有限公司</t>
  </si>
  <si>
    <t>45EAE9FBD9164DEA80B7E2757B9BD1C2</t>
  </si>
  <si>
    <t>72196540k</t>
  </si>
  <si>
    <t>鞍钢集团关宝山矿业有限公司</t>
  </si>
  <si>
    <t>c6fae2802f9443ca8c4dbecd08f288cb</t>
  </si>
  <si>
    <t>912103817</t>
  </si>
  <si>
    <t>鞍山润德精细化工有限公司</t>
  </si>
  <si>
    <t>3D7EBA0B3E064E4BB4D9CDE7364CB4D4</t>
  </si>
  <si>
    <t>941266564</t>
  </si>
  <si>
    <t>鞍钢实业集团有限公司冶金资源再生利用分公司</t>
  </si>
  <si>
    <t>11f865ff8a6f4bbd91af8ae1d71e512a</t>
  </si>
  <si>
    <t>412644467</t>
  </si>
  <si>
    <t>鞍钢汽车运输有限责任公司</t>
  </si>
  <si>
    <t>E112AACEA64E4A95B3057C74E3348385</t>
  </si>
  <si>
    <t>MA106XGJ9</t>
  </si>
  <si>
    <t>3d4a26b7be1a484fa735d4e7b0f69881</t>
  </si>
  <si>
    <t>603654521</t>
  </si>
  <si>
    <t>海城正昌工业有限公司</t>
  </si>
  <si>
    <t>03CC3090BFB142F6A74787233506889F</t>
  </si>
  <si>
    <t>577212251</t>
  </si>
  <si>
    <t>8bb8e731a4a1465096f7fe7b8f990713</t>
  </si>
  <si>
    <t>318644914</t>
  </si>
  <si>
    <t>中国铁塔股份有限公司鞍山市分公司</t>
  </si>
  <si>
    <t>7e1530c852c14985918393a5e0907163</t>
  </si>
  <si>
    <t>241527583</t>
  </si>
  <si>
    <t>海城市华圣耐火材料有限公司</t>
  </si>
  <si>
    <t>8cc9ed077a774f868cc1c8e0fe975441</t>
  </si>
  <si>
    <t>241654021</t>
  </si>
  <si>
    <t>海城市光大高纯镁砂有限责任公司</t>
  </si>
  <si>
    <t>26d8e0e660af40748b66786bc6d1cae2</t>
  </si>
  <si>
    <t>730801010</t>
  </si>
  <si>
    <t>686da84284af4946a139927cb266d55c</t>
  </si>
  <si>
    <t>912103007683068241</t>
  </si>
  <si>
    <t>LNGF_912103007683068241003W</t>
  </si>
  <si>
    <t>577227875</t>
  </si>
  <si>
    <t>103cead23c9f4f2996ad6c7bd1e80516</t>
  </si>
  <si>
    <t>068342760</t>
  </si>
  <si>
    <t>56b31818ed3d470e8c62d92b70d43d34</t>
  </si>
  <si>
    <t>70152806X</t>
  </si>
  <si>
    <t>574D39FBA74641C8BC9D1F7BC50C0817</t>
  </si>
  <si>
    <t>59808720X</t>
  </si>
  <si>
    <t>23D4BA8A07FF46E583D773E0A0EF9B21</t>
  </si>
  <si>
    <t>941264526</t>
  </si>
  <si>
    <t>9afacc2e66be4bdbbd75c74828c704a4</t>
  </si>
  <si>
    <t>91210300716418381K</t>
  </si>
  <si>
    <t>d6bee5886cba4a4299d79a35f3f223e7</t>
  </si>
  <si>
    <t>241602475</t>
  </si>
  <si>
    <t>D15709D0C396488F932A21A7F392AB99</t>
  </si>
  <si>
    <t>701529345</t>
  </si>
  <si>
    <t>dfadccb08fef4a56b560a98c570ee198</t>
  </si>
  <si>
    <t>03653940E</t>
  </si>
  <si>
    <t>2cab0e34e49d4794a2e5c24e0ff15b7f</t>
  </si>
  <si>
    <t>241551698</t>
  </si>
  <si>
    <t>7a8ef936f2db432692fb2d6ca98230f3</t>
  </si>
  <si>
    <t>241592414</t>
  </si>
  <si>
    <t>26b201fbb17e4d6a94bb374619d90beb</t>
  </si>
  <si>
    <t>ffb1fccfb2f244a1908f04989025bfad</t>
  </si>
  <si>
    <t>241528447</t>
  </si>
  <si>
    <t>feddd4118a594450aa6f30110bde2869</t>
  </si>
  <si>
    <t>f8c5da9516464a9e98c893714331eb56</t>
  </si>
  <si>
    <t>A0Y84NGXH</t>
  </si>
  <si>
    <t>ffa01588d0a0461fa5e71f5302747f11</t>
  </si>
  <si>
    <t>667288188</t>
  </si>
  <si>
    <t>56e20d5b93f147ee9a92f752ffa6689f</t>
  </si>
  <si>
    <t>MA0QCY4UX</t>
  </si>
  <si>
    <t>a696a447299c47629d1150c469d0ba2f</t>
  </si>
  <si>
    <t>732307497</t>
  </si>
  <si>
    <t>6aafdd64adc243a0b5ce2df2cada41bd</t>
  </si>
  <si>
    <t>558187230</t>
  </si>
  <si>
    <t>4F081E945053413F8FDF1BB28D332175</t>
  </si>
  <si>
    <t>41566291J</t>
  </si>
  <si>
    <t>E70DA9CA385445FDA3AE7D681A131193</t>
  </si>
  <si>
    <t>768708315</t>
  </si>
  <si>
    <t>78c4f4f02b544815a0016f0d0cb8a76e</t>
  </si>
  <si>
    <t>055666395</t>
  </si>
  <si>
    <t>28B486F3600A4A54BF5BE3170CB68C91</t>
  </si>
  <si>
    <t>732299159</t>
  </si>
  <si>
    <t>32473443f76843d08f3493c50637eca9</t>
  </si>
  <si>
    <t>564603560</t>
  </si>
  <si>
    <t>eae6b7cec1f348139c7b32863f9013bd</t>
  </si>
  <si>
    <t>676867528</t>
  </si>
  <si>
    <t>5618E2D53E1D4043A72EB326C34AB55C</t>
  </si>
  <si>
    <t>701510548</t>
  </si>
  <si>
    <t>9364f409fccc4d509f4c87deb37bc827</t>
  </si>
  <si>
    <t>081134384</t>
  </si>
  <si>
    <t>eb6081aed32a4b119faf1f082148149b</t>
  </si>
  <si>
    <t>C79FA6413EDB4158B324958FBE8251A0</t>
  </si>
  <si>
    <t>24157497X</t>
  </si>
  <si>
    <t>689654978DB449D587960429EB824956</t>
  </si>
  <si>
    <t>41264964F</t>
  </si>
  <si>
    <t>7124b5533bfa4df3bd94f502b1cef51d</t>
  </si>
  <si>
    <t>395243436</t>
  </si>
  <si>
    <t>55189668e1704296acd11632e52f1c1c</t>
  </si>
  <si>
    <t>77245563B</t>
  </si>
  <si>
    <t>9a6b3ec80e894bcc856028198e4b4566</t>
  </si>
  <si>
    <t>91210381MA0XXX787</t>
  </si>
  <si>
    <t>0ced880aad5b4f638aa33a77ce14d7d4</t>
  </si>
  <si>
    <t>79158884X</t>
  </si>
  <si>
    <t>f73b97fb307641db8129024d741c5c1c</t>
  </si>
  <si>
    <t>426694799</t>
  </si>
  <si>
    <t>5253E75B145547518EDC6154519D3166</t>
  </si>
  <si>
    <t>912111007</t>
  </si>
  <si>
    <t>81dd7589c0a94c77be6ae069d1666fad</t>
  </si>
  <si>
    <t>78877922C</t>
  </si>
  <si>
    <t>E701B1E3D42C4BB686694FF9A161441B</t>
  </si>
  <si>
    <t>399679587</t>
  </si>
  <si>
    <t>7120f9162186479486dbea78a73a31a0</t>
  </si>
  <si>
    <t>91210300MA0XQ47Q7F</t>
  </si>
  <si>
    <t>5da61455e9ab4276b4f295867c61f8fd</t>
  </si>
  <si>
    <t>利用处置率</t>
  </si>
  <si>
    <t>校核</t>
  </si>
  <si>
    <t>上年遗留贮存量(吨)</t>
  </si>
  <si>
    <t>本年遗留贮存量(吨)</t>
  </si>
  <si>
    <t>委外收集量（吨）</t>
  </si>
  <si>
    <t>委外处置量（吨）</t>
  </si>
  <si>
    <t>自行处置量（吨）</t>
  </si>
  <si>
    <t>委外利用量（吨）</t>
  </si>
  <si>
    <t>自行利用量（吨）</t>
  </si>
  <si>
    <t>产生量（吨）</t>
  </si>
  <si>
    <t>行业类别</t>
  </si>
  <si>
    <t>行政区划</t>
  </si>
  <si>
    <t>统一社会信用代码</t>
  </si>
  <si>
    <t>单位名称</t>
  </si>
  <si>
    <t>序号</t>
  </si>
  <si>
    <t>2021年危废年报企业统计明细</t>
  </si>
  <si>
    <t>铁东区</t>
    <phoneticPr fontId="1" type="noConversion"/>
  </si>
  <si>
    <t>经开区</t>
    <phoneticPr fontId="1" type="noConversion"/>
  </si>
  <si>
    <t>台安县</t>
    <phoneticPr fontId="1" type="noConversion"/>
  </si>
  <si>
    <t>辽宁澳贝达危废处理有限公司</t>
    <phoneticPr fontId="1" type="noConversion"/>
  </si>
  <si>
    <t>岫岩县</t>
    <phoneticPr fontId="1" type="noConversion"/>
  </si>
  <si>
    <t>海城市</t>
    <phoneticPr fontId="1" type="noConversion"/>
  </si>
  <si>
    <t>铁西区</t>
    <phoneticPr fontId="1" type="noConversion"/>
  </si>
  <si>
    <t>市管理</t>
    <phoneticPr fontId="1" type="noConversion"/>
  </si>
  <si>
    <t>鞍山天雨发展有限公司</t>
    <phoneticPr fontId="1" type="noConversion"/>
  </si>
  <si>
    <t>台安县腾达化工产品经销有限公司</t>
    <phoneticPr fontId="1" type="noConversion"/>
  </si>
  <si>
    <t>岫岩满族自治县华顺废油回收有限公司</t>
    <phoneticPr fontId="1" type="noConversion"/>
  </si>
  <si>
    <t>海城市海纪废机油回收有限公司</t>
    <phoneticPr fontId="1" type="noConversion"/>
  </si>
  <si>
    <t>岫岩满族自治县洁达环保有限公司</t>
    <phoneticPr fontId="1" type="noConversion"/>
  </si>
  <si>
    <t>鞍山市润丰再生资源回收有限公司</t>
    <phoneticPr fontId="1" type="noConversion"/>
  </si>
  <si>
    <t>海城市正旭废机油回收有限公司</t>
    <phoneticPr fontId="1" type="noConversion"/>
  </si>
  <si>
    <t>海城市鑫鹏再生资源回收有限公司</t>
    <phoneticPr fontId="1" type="noConversion"/>
  </si>
  <si>
    <t>海城市竤原物资回收有限公司</t>
    <phoneticPr fontId="1" type="noConversion"/>
  </si>
  <si>
    <t>台安虹光医疗废物集中处置有限公司</t>
    <phoneticPr fontId="1" type="noConversion"/>
  </si>
  <si>
    <t>华信华方国际环保科技（北京）有限公司鞍山分公司</t>
    <phoneticPr fontId="1" type="noConversion"/>
  </si>
  <si>
    <t>辽宁明和产业有限公司（海城毛祁库）</t>
    <phoneticPr fontId="1" type="noConversion"/>
  </si>
  <si>
    <t>鞍山友田环保科技有限公司</t>
    <phoneticPr fontId="1" type="noConversion"/>
  </si>
  <si>
    <t>中国石油天然气股份有限公司辽河油田公司高升采油厂</t>
    <phoneticPr fontId="1" type="noConversion"/>
  </si>
  <si>
    <r>
      <t xml:space="preserve">鞍山市危险废物重点监管单位清单
</t>
    </r>
    <r>
      <rPr>
        <b/>
        <sz val="16"/>
        <color theme="1"/>
        <rFont val="宋体"/>
        <family val="3"/>
        <charset val="134"/>
        <scheme val="minor"/>
      </rPr>
      <t>（截止2022年7月）</t>
    </r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</si>
</sst>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0####"/>
    <numFmt numFmtId="177" formatCode="#%"/>
    <numFmt numFmtId="178" formatCode="0.0#####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.5"/>
      <color rgb="FF000000"/>
      <name val="仿宋_GB2312"/>
      <family val="3"/>
      <charset val="134"/>
    </font>
    <font>
      <b/>
      <sz val="18"/>
      <color theme="1"/>
      <name val="宋体"/>
      <family val="3"/>
      <charset val="134"/>
      <scheme val="minor"/>
    </font>
    <font>
      <sz val="10"/>
      <color rgb="FF000000"/>
      <name val="宋体"/>
      <charset val="134"/>
    </font>
    <font>
      <sz val="11"/>
      <color indexed="8"/>
      <name val="宋体"/>
      <family val="2"/>
      <scheme val="minor"/>
    </font>
    <font>
      <sz val="9"/>
      <color rgb="FF000000"/>
      <name val="微软雅黑"/>
      <family val="2"/>
      <charset val="134"/>
    </font>
    <font>
      <sz val="9"/>
      <color rgb="FF000000"/>
      <name val="宋体"/>
      <charset val="134"/>
    </font>
    <font>
      <sz val="9"/>
      <color rgb="FFFFFFFF"/>
      <name val="微软雅黑"/>
      <family val="2"/>
      <charset val="134"/>
    </font>
    <font>
      <b/>
      <sz val="14"/>
      <color rgb="FF000000"/>
      <name val="微软雅黑"/>
      <family val="2"/>
      <charset val="134"/>
    </font>
    <font>
      <sz val="10"/>
      <color rgb="FF000000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306FA8"/>
        <bgColor rgb="FFFFFFFF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1">
      <alignment vertical="center"/>
    </xf>
    <xf numFmtId="0" fontId="7" fillId="2" borderId="3" xfId="1" applyFont="1" applyFill="1" applyBorder="1" applyAlignment="1">
      <alignment horizontal="center" vertical="center" wrapText="1"/>
    </xf>
    <xf numFmtId="177" fontId="6" fillId="2" borderId="3" xfId="1" applyNumberFormat="1" applyFont="1" applyFill="1" applyBorder="1" applyAlignment="1">
      <alignment horizontal="center" vertical="center" wrapText="1"/>
    </xf>
    <xf numFmtId="178" fontId="6" fillId="2" borderId="3" xfId="1" applyNumberFormat="1" applyFont="1" applyFill="1" applyBorder="1" applyAlignment="1">
      <alignment horizontal="center" vertical="center" wrapText="1"/>
    </xf>
    <xf numFmtId="176" fontId="6" fillId="2" borderId="3" xfId="1" applyNumberFormat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1" fontId="6" fillId="2" borderId="3" xfId="1" applyNumberFormat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8" fillId="5" borderId="3" xfId="1" applyFont="1" applyFill="1" applyBorder="1" applyAlignment="1">
      <alignment horizontal="center" vertical="center" wrapText="1"/>
    </xf>
    <xf numFmtId="0" fontId="6" fillId="6" borderId="3" xfId="1" applyFont="1" applyFill="1" applyBorder="1" applyAlignment="1">
      <alignment horizontal="center" vertical="center" wrapText="1"/>
    </xf>
    <xf numFmtId="0" fontId="5" fillId="7" borderId="0" xfId="1" applyFill="1">
      <alignment vertical="center"/>
    </xf>
    <xf numFmtId="1" fontId="10" fillId="4" borderId="1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19"/>
  <sheetViews>
    <sheetView tabSelected="1" workbookViewId="0">
      <selection activeCell="F9" sqref="F9"/>
    </sheetView>
  </sheetViews>
  <sheetFormatPr defaultRowHeight="13.5"/>
  <cols>
    <col min="1" max="1" width="11.375" style="17" customWidth="1"/>
    <col min="2" max="2" width="17.75" style="17" customWidth="1"/>
    <col min="3" max="3" width="60.25" style="17" customWidth="1"/>
    <col min="4" max="16384" width="9" style="17"/>
  </cols>
  <sheetData>
    <row r="1" spans="1:3" ht="70.5" customHeight="1">
      <c r="A1" s="18" t="s">
        <v>947</v>
      </c>
      <c r="B1" s="19"/>
      <c r="C1" s="19"/>
    </row>
    <row r="2" spans="1:3" customFormat="1">
      <c r="A2" s="2" t="s">
        <v>64</v>
      </c>
      <c r="B2" s="3" t="s">
        <v>74</v>
      </c>
      <c r="C2" s="3" t="s">
        <v>63</v>
      </c>
    </row>
    <row r="3" spans="1:3" customFormat="1">
      <c r="A3" s="2">
        <v>1</v>
      </c>
      <c r="B3" s="3" t="s">
        <v>66</v>
      </c>
      <c r="C3" s="3" t="s">
        <v>30</v>
      </c>
    </row>
    <row r="4" spans="1:3" customFormat="1">
      <c r="A4" s="2">
        <v>2</v>
      </c>
      <c r="B4" s="3" t="s">
        <v>66</v>
      </c>
      <c r="C4" s="3" t="s">
        <v>2</v>
      </c>
    </row>
    <row r="5" spans="1:3" customFormat="1">
      <c r="A5" s="2">
        <v>3</v>
      </c>
      <c r="B5" s="3" t="s">
        <v>66</v>
      </c>
      <c r="C5" s="3" t="s">
        <v>33</v>
      </c>
    </row>
    <row r="6" spans="1:3" customFormat="1">
      <c r="A6" s="2">
        <v>4</v>
      </c>
      <c r="B6" s="3" t="s">
        <v>66</v>
      </c>
      <c r="C6" s="3" t="s">
        <v>34</v>
      </c>
    </row>
    <row r="7" spans="1:3" customFormat="1">
      <c r="A7" s="2">
        <v>5</v>
      </c>
      <c r="B7" s="3" t="s">
        <v>66</v>
      </c>
      <c r="C7" s="3" t="s">
        <v>36</v>
      </c>
    </row>
    <row r="8" spans="1:3" customFormat="1">
      <c r="A8" s="2">
        <v>6</v>
      </c>
      <c r="B8" s="3" t="s">
        <v>66</v>
      </c>
      <c r="C8" s="3" t="s">
        <v>4</v>
      </c>
    </row>
    <row r="9" spans="1:3" customFormat="1">
      <c r="A9" s="2">
        <v>7</v>
      </c>
      <c r="B9" s="3" t="s">
        <v>66</v>
      </c>
      <c r="C9" s="3" t="s">
        <v>38</v>
      </c>
    </row>
    <row r="10" spans="1:3" customFormat="1">
      <c r="A10" s="2">
        <v>8</v>
      </c>
      <c r="B10" s="3" t="s">
        <v>66</v>
      </c>
      <c r="C10" s="3" t="s">
        <v>39</v>
      </c>
    </row>
    <row r="11" spans="1:3" customFormat="1">
      <c r="A11" s="2">
        <v>9</v>
      </c>
      <c r="B11" s="3" t="s">
        <v>66</v>
      </c>
      <c r="C11" s="3" t="s">
        <v>40</v>
      </c>
    </row>
    <row r="12" spans="1:3" customFormat="1">
      <c r="A12" s="2">
        <v>10</v>
      </c>
      <c r="B12" s="3" t="s">
        <v>66</v>
      </c>
      <c r="C12" s="3" t="s">
        <v>41</v>
      </c>
    </row>
    <row r="13" spans="1:3" customFormat="1">
      <c r="A13" s="2">
        <v>11</v>
      </c>
      <c r="B13" s="3" t="s">
        <v>66</v>
      </c>
      <c r="C13" s="3" t="s">
        <v>42</v>
      </c>
    </row>
    <row r="14" spans="1:3" customFormat="1">
      <c r="A14" s="2">
        <v>12</v>
      </c>
      <c r="B14" s="3" t="s">
        <v>66</v>
      </c>
      <c r="C14" s="3" t="s">
        <v>44</v>
      </c>
    </row>
    <row r="15" spans="1:3" customFormat="1">
      <c r="A15" s="2">
        <v>13</v>
      </c>
      <c r="B15" s="3" t="s">
        <v>66</v>
      </c>
      <c r="C15" s="3" t="s">
        <v>48</v>
      </c>
    </row>
    <row r="16" spans="1:3" customFormat="1">
      <c r="A16" s="2">
        <v>14</v>
      </c>
      <c r="B16" s="3" t="s">
        <v>66</v>
      </c>
      <c r="C16" s="3" t="s">
        <v>49</v>
      </c>
    </row>
    <row r="17" spans="1:3" customFormat="1">
      <c r="A17" s="2">
        <v>15</v>
      </c>
      <c r="B17" s="3" t="s">
        <v>66</v>
      </c>
      <c r="C17" s="3" t="s">
        <v>51</v>
      </c>
    </row>
    <row r="18" spans="1:3" customFormat="1">
      <c r="A18" s="2">
        <v>16</v>
      </c>
      <c r="B18" s="3" t="s">
        <v>66</v>
      </c>
      <c r="C18" s="3" t="s">
        <v>828</v>
      </c>
    </row>
    <row r="19" spans="1:3" customFormat="1">
      <c r="A19" s="2">
        <v>17</v>
      </c>
      <c r="B19" s="3" t="s">
        <v>66</v>
      </c>
      <c r="C19" s="3" t="s">
        <v>825</v>
      </c>
    </row>
    <row r="20" spans="1:3" customFormat="1">
      <c r="A20" s="2">
        <v>18</v>
      </c>
      <c r="B20" s="3" t="s">
        <v>66</v>
      </c>
      <c r="C20" s="3" t="s">
        <v>817</v>
      </c>
    </row>
    <row r="21" spans="1:3" customFormat="1">
      <c r="A21" s="2">
        <v>19</v>
      </c>
      <c r="B21" s="3" t="s">
        <v>66</v>
      </c>
      <c r="C21" s="3" t="s">
        <v>806</v>
      </c>
    </row>
    <row r="22" spans="1:3" customFormat="1">
      <c r="A22" s="2">
        <v>20</v>
      </c>
      <c r="B22" s="3" t="s">
        <v>66</v>
      </c>
      <c r="C22" s="3" t="s">
        <v>800</v>
      </c>
    </row>
    <row r="23" spans="1:3" customFormat="1">
      <c r="A23" s="2">
        <v>21</v>
      </c>
      <c r="B23" s="3" t="s">
        <v>66</v>
      </c>
      <c r="C23" s="3" t="s">
        <v>792</v>
      </c>
    </row>
    <row r="24" spans="1:3" customFormat="1">
      <c r="A24" s="2">
        <v>22</v>
      </c>
      <c r="B24" s="3" t="s">
        <v>66</v>
      </c>
      <c r="C24" s="3" t="s">
        <v>9</v>
      </c>
    </row>
    <row r="25" spans="1:3" customFormat="1">
      <c r="A25" s="2">
        <v>23</v>
      </c>
      <c r="B25" s="3" t="s">
        <v>66</v>
      </c>
      <c r="C25" s="3" t="s">
        <v>765</v>
      </c>
    </row>
    <row r="26" spans="1:3" customFormat="1">
      <c r="A26" s="2">
        <v>24</v>
      </c>
      <c r="B26" s="3" t="s">
        <v>66</v>
      </c>
      <c r="C26" s="3" t="s">
        <v>745</v>
      </c>
    </row>
    <row r="27" spans="1:3" customFormat="1">
      <c r="A27" s="2">
        <v>25</v>
      </c>
      <c r="B27" s="3" t="s">
        <v>66</v>
      </c>
      <c r="C27" s="3" t="s">
        <v>739</v>
      </c>
    </row>
    <row r="28" spans="1:3" customFormat="1">
      <c r="A28" s="2">
        <v>26</v>
      </c>
      <c r="B28" s="3" t="s">
        <v>66</v>
      </c>
      <c r="C28" s="3" t="s">
        <v>732</v>
      </c>
    </row>
    <row r="29" spans="1:3" customFormat="1">
      <c r="A29" s="2">
        <v>27</v>
      </c>
      <c r="B29" s="3" t="s">
        <v>66</v>
      </c>
      <c r="C29" s="3" t="s">
        <v>723</v>
      </c>
    </row>
    <row r="30" spans="1:3" customFormat="1">
      <c r="A30" s="2">
        <v>28</v>
      </c>
      <c r="B30" s="3" t="s">
        <v>66</v>
      </c>
      <c r="C30" s="3" t="s">
        <v>702</v>
      </c>
    </row>
    <row r="31" spans="1:3" customFormat="1">
      <c r="A31" s="2">
        <v>29</v>
      </c>
      <c r="B31" s="3" t="s">
        <v>66</v>
      </c>
      <c r="C31" s="3" t="s">
        <v>681</v>
      </c>
    </row>
    <row r="32" spans="1:3" customFormat="1">
      <c r="A32" s="2">
        <v>30</v>
      </c>
      <c r="B32" s="3" t="s">
        <v>66</v>
      </c>
      <c r="C32" s="3" t="s">
        <v>678</v>
      </c>
    </row>
    <row r="33" spans="1:3" customFormat="1">
      <c r="A33" s="2">
        <v>31</v>
      </c>
      <c r="B33" s="3" t="s">
        <v>930</v>
      </c>
      <c r="C33" s="3" t="s">
        <v>939</v>
      </c>
    </row>
    <row r="34" spans="1:3" customFormat="1">
      <c r="A34" s="2">
        <v>32</v>
      </c>
      <c r="B34" s="3" t="s">
        <v>930</v>
      </c>
      <c r="C34" s="3" t="s">
        <v>940</v>
      </c>
    </row>
    <row r="35" spans="1:3" customFormat="1">
      <c r="A35" s="2">
        <v>33</v>
      </c>
      <c r="B35" s="3" t="s">
        <v>930</v>
      </c>
      <c r="C35" s="3" t="s">
        <v>944</v>
      </c>
    </row>
    <row r="36" spans="1:3" customFormat="1">
      <c r="A36" s="2">
        <v>34</v>
      </c>
      <c r="B36" s="3" t="s">
        <v>930</v>
      </c>
      <c r="C36" s="3" t="s">
        <v>941</v>
      </c>
    </row>
    <row r="37" spans="1:3" customFormat="1">
      <c r="A37" s="2">
        <v>35</v>
      </c>
      <c r="B37" s="3" t="s">
        <v>930</v>
      </c>
      <c r="C37" s="3" t="s">
        <v>936</v>
      </c>
    </row>
    <row r="38" spans="1:3" customFormat="1">
      <c r="A38" s="2">
        <v>36</v>
      </c>
      <c r="B38" s="3" t="s">
        <v>67</v>
      </c>
      <c r="C38" s="3" t="s">
        <v>11</v>
      </c>
    </row>
    <row r="39" spans="1:3" customFormat="1">
      <c r="A39" s="2">
        <v>37</v>
      </c>
      <c r="B39" s="3" t="s">
        <v>67</v>
      </c>
      <c r="C39" s="3" t="s">
        <v>3</v>
      </c>
    </row>
    <row r="40" spans="1:3" customFormat="1">
      <c r="A40" s="2">
        <v>38</v>
      </c>
      <c r="B40" s="3" t="s">
        <v>67</v>
      </c>
      <c r="C40" s="3" t="s">
        <v>6</v>
      </c>
    </row>
    <row r="41" spans="1:3" customFormat="1">
      <c r="A41" s="2">
        <v>39</v>
      </c>
      <c r="B41" s="3" t="s">
        <v>67</v>
      </c>
      <c r="C41" s="3" t="s">
        <v>55</v>
      </c>
    </row>
    <row r="42" spans="1:3" customFormat="1">
      <c r="A42" s="2">
        <v>40</v>
      </c>
      <c r="B42" s="3" t="s">
        <v>67</v>
      </c>
      <c r="C42" s="3" t="s">
        <v>10</v>
      </c>
    </row>
    <row r="43" spans="1:3" customFormat="1">
      <c r="A43" s="2">
        <v>41</v>
      </c>
      <c r="B43" s="3" t="s">
        <v>67</v>
      </c>
      <c r="C43" s="3" t="s">
        <v>28</v>
      </c>
    </row>
    <row r="44" spans="1:3" customFormat="1">
      <c r="A44" s="2">
        <v>42</v>
      </c>
      <c r="B44" s="3" t="s">
        <v>67</v>
      </c>
      <c r="C44" s="3" t="s">
        <v>760</v>
      </c>
    </row>
    <row r="45" spans="1:3" customFormat="1">
      <c r="A45" s="2">
        <v>43</v>
      </c>
      <c r="B45" s="3" t="s">
        <v>67</v>
      </c>
      <c r="C45" s="3" t="s">
        <v>742</v>
      </c>
    </row>
    <row r="46" spans="1:3" customFormat="1">
      <c r="A46" s="2">
        <v>44</v>
      </c>
      <c r="B46" s="3" t="s">
        <v>67</v>
      </c>
      <c r="C46" s="3" t="s">
        <v>62</v>
      </c>
    </row>
    <row r="47" spans="1:3" customFormat="1">
      <c r="A47" s="2">
        <v>45</v>
      </c>
      <c r="B47" s="3" t="s">
        <v>927</v>
      </c>
      <c r="C47" s="3" t="s">
        <v>934</v>
      </c>
    </row>
    <row r="48" spans="1:3" customFormat="1">
      <c r="A48" s="2">
        <v>46</v>
      </c>
      <c r="B48" s="3" t="s">
        <v>927</v>
      </c>
      <c r="C48" s="3" t="s">
        <v>942</v>
      </c>
    </row>
    <row r="49" spans="1:3" customFormat="1">
      <c r="A49" s="2">
        <v>47</v>
      </c>
      <c r="B49" s="3" t="s">
        <v>67</v>
      </c>
      <c r="C49" s="3" t="s">
        <v>946</v>
      </c>
    </row>
    <row r="50" spans="1:3" customFormat="1">
      <c r="A50" s="2">
        <v>48</v>
      </c>
      <c r="B50" s="3" t="s">
        <v>929</v>
      </c>
      <c r="C50" s="3" t="s">
        <v>937</v>
      </c>
    </row>
    <row r="51" spans="1:3" customFormat="1">
      <c r="A51" s="2">
        <v>49</v>
      </c>
      <c r="B51" s="3" t="s">
        <v>929</v>
      </c>
      <c r="C51" s="3" t="s">
        <v>754</v>
      </c>
    </row>
    <row r="52" spans="1:3" customFormat="1">
      <c r="A52" s="2">
        <v>50</v>
      </c>
      <c r="B52" s="3" t="s">
        <v>929</v>
      </c>
      <c r="C52" s="3" t="s">
        <v>935</v>
      </c>
    </row>
    <row r="53" spans="1:3" customFormat="1">
      <c r="A53" s="2">
        <v>51</v>
      </c>
      <c r="B53" s="3" t="s">
        <v>925</v>
      </c>
      <c r="C53" s="3" t="s">
        <v>76</v>
      </c>
    </row>
    <row r="54" spans="1:3" customFormat="1">
      <c r="A54" s="2">
        <v>52</v>
      </c>
      <c r="B54" s="3" t="s">
        <v>925</v>
      </c>
      <c r="C54" s="3" t="s">
        <v>943</v>
      </c>
    </row>
    <row r="55" spans="1:3" customFormat="1">
      <c r="A55" s="2">
        <v>53</v>
      </c>
      <c r="B55" s="3" t="s">
        <v>73</v>
      </c>
      <c r="C55" s="3" t="s">
        <v>57</v>
      </c>
    </row>
    <row r="56" spans="1:3" customFormat="1">
      <c r="A56" s="2">
        <v>54</v>
      </c>
      <c r="B56" s="3" t="s">
        <v>73</v>
      </c>
      <c r="C56" s="3" t="s">
        <v>58</v>
      </c>
    </row>
    <row r="57" spans="1:3" customFormat="1">
      <c r="A57" s="2">
        <v>55</v>
      </c>
      <c r="B57" s="3" t="s">
        <v>73</v>
      </c>
      <c r="C57" s="3" t="s">
        <v>690</v>
      </c>
    </row>
    <row r="58" spans="1:3" customFormat="1">
      <c r="A58" s="2">
        <v>56</v>
      </c>
      <c r="B58" s="3" t="s">
        <v>73</v>
      </c>
      <c r="C58" s="3" t="s">
        <v>656</v>
      </c>
    </row>
    <row r="59" spans="1:3" customFormat="1">
      <c r="A59" s="2">
        <v>57</v>
      </c>
      <c r="B59" s="3" t="s">
        <v>931</v>
      </c>
      <c r="C59" s="3" t="s">
        <v>938</v>
      </c>
    </row>
    <row r="60" spans="1:3" customFormat="1">
      <c r="A60" s="2">
        <v>58</v>
      </c>
      <c r="B60" s="3" t="s">
        <v>69</v>
      </c>
      <c r="C60" s="3" t="s">
        <v>43</v>
      </c>
    </row>
    <row r="61" spans="1:3" customFormat="1">
      <c r="A61" s="2">
        <v>59</v>
      </c>
      <c r="B61" s="3" t="s">
        <v>69</v>
      </c>
      <c r="C61" s="3" t="s">
        <v>12</v>
      </c>
    </row>
    <row r="62" spans="1:3" customFormat="1">
      <c r="A62" s="2">
        <v>60</v>
      </c>
      <c r="B62" s="3" t="s">
        <v>69</v>
      </c>
      <c r="C62" s="3" t="s">
        <v>711</v>
      </c>
    </row>
    <row r="63" spans="1:3" customFormat="1">
      <c r="A63" s="2">
        <v>61</v>
      </c>
      <c r="B63" s="3" t="s">
        <v>69</v>
      </c>
      <c r="C63" s="3" t="s">
        <v>647</v>
      </c>
    </row>
    <row r="64" spans="1:3" customFormat="1">
      <c r="A64" s="2">
        <v>62</v>
      </c>
      <c r="B64" s="3" t="s">
        <v>68</v>
      </c>
      <c r="C64" s="3" t="s">
        <v>5</v>
      </c>
    </row>
    <row r="65" spans="1:3" customFormat="1">
      <c r="A65" s="2">
        <v>63</v>
      </c>
      <c r="B65" s="3" t="s">
        <v>68</v>
      </c>
      <c r="C65" s="3" t="s">
        <v>46</v>
      </c>
    </row>
    <row r="66" spans="1:3" customFormat="1">
      <c r="A66" s="2">
        <v>64</v>
      </c>
      <c r="B66" s="3" t="s">
        <v>68</v>
      </c>
      <c r="C66" s="3" t="s">
        <v>748</v>
      </c>
    </row>
    <row r="67" spans="1:3" customFormat="1">
      <c r="A67" s="2">
        <v>65</v>
      </c>
      <c r="B67" s="3" t="s">
        <v>926</v>
      </c>
      <c r="C67" s="3" t="s">
        <v>933</v>
      </c>
    </row>
    <row r="68" spans="1:3" customFormat="1">
      <c r="A68" s="2">
        <v>66</v>
      </c>
      <c r="B68" s="3" t="s">
        <v>926</v>
      </c>
      <c r="C68" s="3" t="s">
        <v>945</v>
      </c>
    </row>
    <row r="69" spans="1:3" customFormat="1">
      <c r="A69" s="2">
        <v>67</v>
      </c>
      <c r="B69" s="3" t="s">
        <v>926</v>
      </c>
      <c r="C69" s="3" t="s">
        <v>32</v>
      </c>
    </row>
    <row r="70" spans="1:3" customFormat="1">
      <c r="A70" s="2">
        <v>68</v>
      </c>
      <c r="B70" s="3" t="s">
        <v>926</v>
      </c>
      <c r="C70" s="3" t="s">
        <v>37</v>
      </c>
    </row>
    <row r="71" spans="1:3" customFormat="1">
      <c r="A71" s="2">
        <v>69</v>
      </c>
      <c r="B71" s="3" t="s">
        <v>926</v>
      </c>
      <c r="C71" s="3" t="s">
        <v>45</v>
      </c>
    </row>
    <row r="72" spans="1:3" customFormat="1">
      <c r="A72" s="2">
        <v>70</v>
      </c>
      <c r="B72" s="3" t="s">
        <v>926</v>
      </c>
      <c r="C72" s="3" t="s">
        <v>50</v>
      </c>
    </row>
    <row r="73" spans="1:3" customFormat="1">
      <c r="A73" s="2">
        <v>71</v>
      </c>
      <c r="B73" s="3" t="s">
        <v>926</v>
      </c>
      <c r="C73" s="3" t="s">
        <v>7</v>
      </c>
    </row>
    <row r="74" spans="1:3" customFormat="1">
      <c r="A74" s="2">
        <v>72</v>
      </c>
      <c r="B74" s="3" t="s">
        <v>926</v>
      </c>
      <c r="C74" s="3" t="s">
        <v>54</v>
      </c>
    </row>
    <row r="75" spans="1:3" customFormat="1">
      <c r="A75" s="2">
        <v>73</v>
      </c>
      <c r="B75" s="3" t="s">
        <v>926</v>
      </c>
      <c r="C75" s="3" t="s">
        <v>8</v>
      </c>
    </row>
    <row r="76" spans="1:3" customFormat="1">
      <c r="A76" s="2">
        <v>74</v>
      </c>
      <c r="B76" s="3" t="s">
        <v>926</v>
      </c>
      <c r="C76" s="3" t="s">
        <v>59</v>
      </c>
    </row>
    <row r="77" spans="1:3" customFormat="1">
      <c r="A77" s="2">
        <v>75</v>
      </c>
      <c r="B77" s="3" t="s">
        <v>926</v>
      </c>
      <c r="C77" s="3" t="s">
        <v>768</v>
      </c>
    </row>
    <row r="78" spans="1:3" customFormat="1">
      <c r="A78" s="2">
        <v>76</v>
      </c>
      <c r="B78" s="3" t="s">
        <v>926</v>
      </c>
      <c r="C78" s="3" t="s">
        <v>729</v>
      </c>
    </row>
    <row r="79" spans="1:3" customFormat="1">
      <c r="A79" s="2">
        <v>77</v>
      </c>
      <c r="B79" s="3" t="s">
        <v>926</v>
      </c>
      <c r="C79" s="3" t="s">
        <v>726</v>
      </c>
    </row>
    <row r="80" spans="1:3" customFormat="1">
      <c r="A80" s="2">
        <v>78</v>
      </c>
      <c r="B80" s="3" t="s">
        <v>926</v>
      </c>
      <c r="C80" s="3" t="s">
        <v>693</v>
      </c>
    </row>
    <row r="81" spans="1:3" customFormat="1">
      <c r="A81" s="2">
        <v>79</v>
      </c>
      <c r="B81" s="3" t="s">
        <v>926</v>
      </c>
      <c r="C81" s="3" t="s">
        <v>684</v>
      </c>
    </row>
    <row r="82" spans="1:3" customFormat="1">
      <c r="A82" s="2">
        <v>80</v>
      </c>
      <c r="B82" s="3" t="s">
        <v>926</v>
      </c>
      <c r="C82" s="3" t="s">
        <v>670</v>
      </c>
    </row>
    <row r="83" spans="1:3" customFormat="1">
      <c r="A83" s="2">
        <v>81</v>
      </c>
      <c r="B83" s="3" t="s">
        <v>926</v>
      </c>
      <c r="C83" s="3" t="s">
        <v>667</v>
      </c>
    </row>
    <row r="84" spans="1:3" customFormat="1">
      <c r="A84" s="2">
        <v>82</v>
      </c>
      <c r="B84" s="3" t="s">
        <v>926</v>
      </c>
      <c r="C84" s="3" t="s">
        <v>659</v>
      </c>
    </row>
    <row r="85" spans="1:3" customFormat="1">
      <c r="A85" s="2">
        <v>83</v>
      </c>
      <c r="B85" s="3" t="s">
        <v>926</v>
      </c>
      <c r="C85" s="3" t="s">
        <v>928</v>
      </c>
    </row>
    <row r="86" spans="1:3" customFormat="1">
      <c r="A86" s="2">
        <v>84</v>
      </c>
      <c r="B86" s="3" t="s">
        <v>65</v>
      </c>
      <c r="C86" s="3" t="s">
        <v>0</v>
      </c>
    </row>
    <row r="87" spans="1:3" customFormat="1">
      <c r="A87" s="2">
        <v>85</v>
      </c>
      <c r="B87" s="3" t="s">
        <v>65</v>
      </c>
      <c r="C87" s="3" t="s">
        <v>1</v>
      </c>
    </row>
    <row r="88" spans="1:3" customFormat="1">
      <c r="A88" s="2">
        <v>86</v>
      </c>
      <c r="B88" s="3" t="s">
        <v>65</v>
      </c>
      <c r="C88" s="3" t="s">
        <v>35</v>
      </c>
    </row>
    <row r="89" spans="1:3" customFormat="1">
      <c r="A89" s="2">
        <v>87</v>
      </c>
      <c r="B89" s="3" t="s">
        <v>65</v>
      </c>
      <c r="C89" s="3" t="s">
        <v>47</v>
      </c>
    </row>
    <row r="90" spans="1:3" customFormat="1">
      <c r="A90" s="2">
        <v>88</v>
      </c>
      <c r="B90" s="3" t="s">
        <v>65</v>
      </c>
      <c r="C90" s="3" t="s">
        <v>52</v>
      </c>
    </row>
    <row r="91" spans="1:3" customFormat="1">
      <c r="A91" s="2">
        <v>89</v>
      </c>
      <c r="B91" s="3" t="s">
        <v>65</v>
      </c>
      <c r="C91" s="3" t="s">
        <v>53</v>
      </c>
    </row>
    <row r="92" spans="1:3" customFormat="1">
      <c r="A92" s="2">
        <v>90</v>
      </c>
      <c r="B92" s="3" t="s">
        <v>65</v>
      </c>
      <c r="C92" s="3" t="s">
        <v>56</v>
      </c>
    </row>
    <row r="93" spans="1:3" customFormat="1">
      <c r="A93" s="2">
        <v>91</v>
      </c>
      <c r="B93" s="3" t="s">
        <v>65</v>
      </c>
      <c r="C93" s="3" t="s">
        <v>822</v>
      </c>
    </row>
    <row r="94" spans="1:3" customFormat="1">
      <c r="A94" s="2">
        <v>92</v>
      </c>
      <c r="B94" s="3" t="s">
        <v>65</v>
      </c>
      <c r="C94" s="3" t="s">
        <v>812</v>
      </c>
    </row>
    <row r="95" spans="1:3" customFormat="1">
      <c r="A95" s="2">
        <v>93</v>
      </c>
      <c r="B95" s="3" t="s">
        <v>65</v>
      </c>
      <c r="C95" s="3" t="s">
        <v>809</v>
      </c>
    </row>
    <row r="96" spans="1:3" customFormat="1">
      <c r="A96" s="2">
        <v>94</v>
      </c>
      <c r="B96" s="3" t="s">
        <v>65</v>
      </c>
      <c r="C96" s="3" t="s">
        <v>803</v>
      </c>
    </row>
    <row r="97" spans="1:3" customFormat="1">
      <c r="A97" s="2">
        <v>95</v>
      </c>
      <c r="B97" s="3" t="s">
        <v>65</v>
      </c>
      <c r="C97" s="3" t="s">
        <v>795</v>
      </c>
    </row>
    <row r="98" spans="1:3" customFormat="1">
      <c r="A98" s="2">
        <v>96</v>
      </c>
      <c r="B98" s="3" t="s">
        <v>65</v>
      </c>
      <c r="C98" s="3" t="s">
        <v>787</v>
      </c>
    </row>
    <row r="99" spans="1:3" customFormat="1">
      <c r="A99" s="2">
        <v>97</v>
      </c>
      <c r="B99" s="3" t="s">
        <v>65</v>
      </c>
      <c r="C99" s="3" t="s">
        <v>782</v>
      </c>
    </row>
    <row r="100" spans="1:3" customFormat="1">
      <c r="A100" s="2">
        <v>98</v>
      </c>
      <c r="B100" s="3" t="s">
        <v>65</v>
      </c>
      <c r="C100" s="3" t="s">
        <v>780</v>
      </c>
    </row>
    <row r="101" spans="1:3" customFormat="1">
      <c r="A101" s="2">
        <v>99</v>
      </c>
      <c r="B101" s="3" t="s">
        <v>65</v>
      </c>
      <c r="C101" s="3" t="s">
        <v>777</v>
      </c>
    </row>
    <row r="102" spans="1:3" customFormat="1">
      <c r="A102" s="2">
        <v>100</v>
      </c>
      <c r="B102" s="3" t="s">
        <v>65</v>
      </c>
      <c r="C102" s="3" t="s">
        <v>774</v>
      </c>
    </row>
    <row r="103" spans="1:3" customFormat="1">
      <c r="A103" s="2">
        <v>101</v>
      </c>
      <c r="B103" s="3" t="s">
        <v>65</v>
      </c>
      <c r="C103" s="3" t="s">
        <v>771</v>
      </c>
    </row>
    <row r="104" spans="1:3" customFormat="1">
      <c r="A104" s="2">
        <v>102</v>
      </c>
      <c r="B104" s="3" t="s">
        <v>65</v>
      </c>
      <c r="C104" s="3" t="s">
        <v>762</v>
      </c>
    </row>
    <row r="105" spans="1:3" customFormat="1">
      <c r="A105" s="2">
        <v>103</v>
      </c>
      <c r="B105" s="3" t="s">
        <v>65</v>
      </c>
      <c r="C105" s="3" t="s">
        <v>757</v>
      </c>
    </row>
    <row r="106" spans="1:3" customFormat="1">
      <c r="A106" s="2">
        <v>104</v>
      </c>
      <c r="B106" s="3" t="s">
        <v>65</v>
      </c>
      <c r="C106" s="3" t="s">
        <v>751</v>
      </c>
    </row>
    <row r="107" spans="1:3" customFormat="1">
      <c r="A107" s="2">
        <v>105</v>
      </c>
      <c r="B107" s="3" t="s">
        <v>65</v>
      </c>
      <c r="C107" s="3" t="s">
        <v>720</v>
      </c>
    </row>
    <row r="108" spans="1:3" customFormat="1">
      <c r="A108" s="2">
        <v>106</v>
      </c>
      <c r="B108" s="3" t="s">
        <v>65</v>
      </c>
      <c r="C108" s="3" t="s">
        <v>717</v>
      </c>
    </row>
    <row r="109" spans="1:3" customFormat="1">
      <c r="A109" s="2">
        <v>107</v>
      </c>
      <c r="B109" s="3" t="s">
        <v>65</v>
      </c>
      <c r="C109" s="3" t="s">
        <v>714</v>
      </c>
    </row>
    <row r="110" spans="1:3" customFormat="1">
      <c r="A110" s="2">
        <v>108</v>
      </c>
      <c r="B110" s="3" t="s">
        <v>65</v>
      </c>
      <c r="C110" s="3" t="s">
        <v>708</v>
      </c>
    </row>
    <row r="111" spans="1:3" customFormat="1">
      <c r="A111" s="2">
        <v>109</v>
      </c>
      <c r="B111" s="3" t="s">
        <v>65</v>
      </c>
      <c r="C111" s="3" t="s">
        <v>705</v>
      </c>
    </row>
    <row r="112" spans="1:3" customFormat="1">
      <c r="A112" s="2">
        <v>110</v>
      </c>
      <c r="B112" s="3" t="s">
        <v>65</v>
      </c>
      <c r="C112" s="3" t="s">
        <v>699</v>
      </c>
    </row>
    <row r="113" spans="1:3" customFormat="1">
      <c r="A113" s="2">
        <v>111</v>
      </c>
      <c r="B113" s="3" t="s">
        <v>65</v>
      </c>
      <c r="C113" s="3" t="s">
        <v>696</v>
      </c>
    </row>
    <row r="114" spans="1:3" customFormat="1">
      <c r="A114" s="2">
        <v>112</v>
      </c>
      <c r="B114" s="3" t="s">
        <v>65</v>
      </c>
      <c r="C114" s="3" t="s">
        <v>687</v>
      </c>
    </row>
    <row r="115" spans="1:3" customFormat="1">
      <c r="A115" s="2">
        <v>113</v>
      </c>
      <c r="B115" s="3" t="s">
        <v>65</v>
      </c>
      <c r="C115" s="3" t="s">
        <v>673</v>
      </c>
    </row>
    <row r="116" spans="1:3" customFormat="1">
      <c r="A116" s="2">
        <v>114</v>
      </c>
      <c r="B116" s="3" t="s">
        <v>65</v>
      </c>
      <c r="C116" s="3" t="s">
        <v>662</v>
      </c>
    </row>
    <row r="117" spans="1:3" customFormat="1">
      <c r="A117" s="2">
        <v>115</v>
      </c>
      <c r="B117" s="3" t="s">
        <v>65</v>
      </c>
      <c r="C117" s="3" t="s">
        <v>653</v>
      </c>
    </row>
    <row r="118" spans="1:3" customFormat="1">
      <c r="A118" s="2">
        <v>116</v>
      </c>
      <c r="B118" s="3" t="s">
        <v>65</v>
      </c>
      <c r="C118" s="3" t="s">
        <v>650</v>
      </c>
    </row>
    <row r="119" spans="1:3" customFormat="1">
      <c r="A119" s="2">
        <v>117</v>
      </c>
      <c r="B119" s="3" t="s">
        <v>65</v>
      </c>
      <c r="C119" s="3" t="s">
        <v>644</v>
      </c>
    </row>
  </sheetData>
  <autoFilter ref="A2:C2">
    <sortState ref="A3:C120">
      <sortCondition descending="1" ref="B2"/>
    </sortState>
  </autoFilter>
  <mergeCells count="1">
    <mergeCell ref="A1:C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65"/>
  <sheetViews>
    <sheetView topLeftCell="A28" workbookViewId="0">
      <selection activeCell="H51" sqref="H51"/>
    </sheetView>
  </sheetViews>
  <sheetFormatPr defaultRowHeight="13.5"/>
  <cols>
    <col min="1" max="1" width="9.875" style="1" customWidth="1"/>
    <col min="2" max="2" width="12.625" customWidth="1"/>
    <col min="3" max="3" width="50.75" customWidth="1"/>
  </cols>
  <sheetData>
    <row r="1" spans="1:3" ht="33.75" customHeight="1">
      <c r="A1" s="20" t="s">
        <v>77</v>
      </c>
      <c r="B1" s="20"/>
      <c r="C1" s="20"/>
    </row>
    <row r="2" spans="1:3">
      <c r="A2" s="2" t="s">
        <v>64</v>
      </c>
      <c r="B2" s="2" t="s">
        <v>74</v>
      </c>
      <c r="C2" s="2" t="s">
        <v>63</v>
      </c>
    </row>
    <row r="3" spans="1:3">
      <c r="A3" s="2">
        <v>1</v>
      </c>
      <c r="B3" s="3" t="s">
        <v>66</v>
      </c>
      <c r="C3" s="3" t="s">
        <v>2</v>
      </c>
    </row>
    <row r="4" spans="1:3">
      <c r="A4" s="2">
        <v>2</v>
      </c>
      <c r="B4" s="3" t="s">
        <v>66</v>
      </c>
      <c r="C4" s="3" t="s">
        <v>4</v>
      </c>
    </row>
    <row r="5" spans="1:3">
      <c r="A5" s="2">
        <v>3</v>
      </c>
      <c r="B5" s="3" t="s">
        <v>66</v>
      </c>
      <c r="C5" s="3" t="s">
        <v>9</v>
      </c>
    </row>
    <row r="6" spans="1:3">
      <c r="A6" s="2">
        <v>4</v>
      </c>
      <c r="B6" s="3" t="s">
        <v>66</v>
      </c>
      <c r="C6" s="3" t="s">
        <v>20</v>
      </c>
    </row>
    <row r="7" spans="1:3">
      <c r="A7" s="2">
        <v>5</v>
      </c>
      <c r="B7" s="3" t="s">
        <v>66</v>
      </c>
      <c r="C7" s="3" t="s">
        <v>23</v>
      </c>
    </row>
    <row r="8" spans="1:3">
      <c r="A8" s="2">
        <v>6</v>
      </c>
      <c r="B8" s="3" t="s">
        <v>66</v>
      </c>
      <c r="C8" s="3" t="s">
        <v>24</v>
      </c>
    </row>
    <row r="9" spans="1:3">
      <c r="A9" s="2">
        <v>7</v>
      </c>
      <c r="B9" s="3" t="s">
        <v>66</v>
      </c>
      <c r="C9" s="3" t="s">
        <v>25</v>
      </c>
    </row>
    <row r="10" spans="1:3">
      <c r="A10" s="2">
        <v>8</v>
      </c>
      <c r="B10" s="3" t="s">
        <v>66</v>
      </c>
      <c r="C10" s="3" t="s">
        <v>26</v>
      </c>
    </row>
    <row r="11" spans="1:3">
      <c r="A11" s="2">
        <v>9</v>
      </c>
      <c r="B11" s="3" t="s">
        <v>66</v>
      </c>
      <c r="C11" s="3" t="s">
        <v>30</v>
      </c>
    </row>
    <row r="12" spans="1:3">
      <c r="A12" s="2">
        <v>10</v>
      </c>
      <c r="B12" s="3" t="s">
        <v>66</v>
      </c>
      <c r="C12" s="3" t="s">
        <v>33</v>
      </c>
    </row>
    <row r="13" spans="1:3">
      <c r="A13" s="2">
        <v>11</v>
      </c>
      <c r="B13" s="3" t="s">
        <v>66</v>
      </c>
      <c r="C13" s="3" t="s">
        <v>34</v>
      </c>
    </row>
    <row r="14" spans="1:3">
      <c r="A14" s="2">
        <v>12</v>
      </c>
      <c r="B14" s="3" t="s">
        <v>66</v>
      </c>
      <c r="C14" s="3" t="s">
        <v>36</v>
      </c>
    </row>
    <row r="15" spans="1:3">
      <c r="A15" s="2">
        <v>13</v>
      </c>
      <c r="B15" s="3" t="s">
        <v>66</v>
      </c>
      <c r="C15" s="3" t="s">
        <v>38</v>
      </c>
    </row>
    <row r="16" spans="1:3">
      <c r="A16" s="2">
        <v>14</v>
      </c>
      <c r="B16" s="3" t="s">
        <v>66</v>
      </c>
      <c r="C16" s="3" t="s">
        <v>39</v>
      </c>
    </row>
    <row r="17" spans="1:3">
      <c r="A17" s="2">
        <v>15</v>
      </c>
      <c r="B17" s="3" t="s">
        <v>66</v>
      </c>
      <c r="C17" s="3" t="s">
        <v>40</v>
      </c>
    </row>
    <row r="18" spans="1:3">
      <c r="A18" s="2">
        <v>16</v>
      </c>
      <c r="B18" s="3" t="s">
        <v>66</v>
      </c>
      <c r="C18" s="3" t="s">
        <v>41</v>
      </c>
    </row>
    <row r="19" spans="1:3">
      <c r="A19" s="2">
        <v>17</v>
      </c>
      <c r="B19" s="3" t="s">
        <v>66</v>
      </c>
      <c r="C19" s="3" t="s">
        <v>42</v>
      </c>
    </row>
    <row r="20" spans="1:3">
      <c r="A20" s="2">
        <v>18</v>
      </c>
      <c r="B20" s="3" t="s">
        <v>66</v>
      </c>
      <c r="C20" s="3" t="s">
        <v>44</v>
      </c>
    </row>
    <row r="21" spans="1:3">
      <c r="A21" s="2">
        <v>19</v>
      </c>
      <c r="B21" s="3" t="s">
        <v>66</v>
      </c>
      <c r="C21" s="3" t="s">
        <v>48</v>
      </c>
    </row>
    <row r="22" spans="1:3">
      <c r="A22" s="2">
        <v>20</v>
      </c>
      <c r="B22" s="3" t="s">
        <v>66</v>
      </c>
      <c r="C22" s="3" t="s">
        <v>49</v>
      </c>
    </row>
    <row r="23" spans="1:3">
      <c r="A23" s="2">
        <v>21</v>
      </c>
      <c r="B23" s="3" t="s">
        <v>66</v>
      </c>
      <c r="C23" s="3" t="s">
        <v>51</v>
      </c>
    </row>
    <row r="24" spans="1:3">
      <c r="A24" s="2">
        <v>22</v>
      </c>
      <c r="B24" s="3" t="s">
        <v>67</v>
      </c>
      <c r="C24" s="3" t="s">
        <v>6</v>
      </c>
    </row>
    <row r="25" spans="1:3">
      <c r="A25" s="2">
        <v>23</v>
      </c>
      <c r="B25" s="3" t="s">
        <v>67</v>
      </c>
      <c r="C25" s="3" t="s">
        <v>10</v>
      </c>
    </row>
    <row r="26" spans="1:3">
      <c r="A26" s="2">
        <v>24</v>
      </c>
      <c r="B26" s="3" t="s">
        <v>67</v>
      </c>
      <c r="C26" s="3" t="s">
        <v>11</v>
      </c>
    </row>
    <row r="27" spans="1:3">
      <c r="A27" s="2">
        <v>25</v>
      </c>
      <c r="B27" s="3" t="s">
        <v>67</v>
      </c>
      <c r="C27" s="3" t="s">
        <v>17</v>
      </c>
    </row>
    <row r="28" spans="1:3">
      <c r="A28" s="2">
        <v>26</v>
      </c>
      <c r="B28" s="3" t="s">
        <v>67</v>
      </c>
      <c r="C28" s="3" t="s">
        <v>27</v>
      </c>
    </row>
    <row r="29" spans="1:3">
      <c r="A29" s="2">
        <v>27</v>
      </c>
      <c r="B29" s="3" t="s">
        <v>67</v>
      </c>
      <c r="C29" s="3" t="s">
        <v>28</v>
      </c>
    </row>
    <row r="30" spans="1:3">
      <c r="A30" s="2">
        <v>28</v>
      </c>
      <c r="B30" s="3" t="s">
        <v>67</v>
      </c>
      <c r="C30" s="3" t="s">
        <v>55</v>
      </c>
    </row>
    <row r="31" spans="1:3">
      <c r="A31" s="2">
        <v>29</v>
      </c>
      <c r="B31" s="3" t="s">
        <v>67</v>
      </c>
      <c r="C31" s="3" t="s">
        <v>61</v>
      </c>
    </row>
    <row r="32" spans="1:3">
      <c r="A32" s="2">
        <v>30</v>
      </c>
      <c r="B32" s="3" t="s">
        <v>67</v>
      </c>
      <c r="C32" s="3" t="s">
        <v>3</v>
      </c>
    </row>
    <row r="33" spans="1:3">
      <c r="A33" s="2">
        <v>31</v>
      </c>
      <c r="B33" s="3" t="s">
        <v>67</v>
      </c>
      <c r="C33" s="3" t="s">
        <v>62</v>
      </c>
    </row>
    <row r="34" spans="1:3">
      <c r="A34" s="2">
        <v>32</v>
      </c>
      <c r="B34" s="3" t="s">
        <v>72</v>
      </c>
      <c r="C34" s="3" t="s">
        <v>18</v>
      </c>
    </row>
    <row r="35" spans="1:3">
      <c r="A35" s="2">
        <v>33</v>
      </c>
      <c r="B35" s="3" t="s">
        <v>72</v>
      </c>
      <c r="C35" s="3" t="s">
        <v>29</v>
      </c>
    </row>
    <row r="36" spans="1:3">
      <c r="A36" s="2">
        <v>34</v>
      </c>
      <c r="B36" s="3" t="s">
        <v>71</v>
      </c>
      <c r="C36" s="3" t="s">
        <v>16</v>
      </c>
    </row>
    <row r="37" spans="1:3">
      <c r="A37" s="2">
        <v>35</v>
      </c>
      <c r="B37" s="3" t="s">
        <v>71</v>
      </c>
      <c r="C37" s="3" t="s">
        <v>76</v>
      </c>
    </row>
    <row r="38" spans="1:3">
      <c r="A38" s="2">
        <v>36</v>
      </c>
      <c r="B38" s="3" t="s">
        <v>73</v>
      </c>
      <c r="C38" s="3" t="s">
        <v>22</v>
      </c>
    </row>
    <row r="39" spans="1:3">
      <c r="A39" s="2">
        <v>37</v>
      </c>
      <c r="B39" s="3" t="s">
        <v>73</v>
      </c>
      <c r="C39" s="3" t="s">
        <v>57</v>
      </c>
    </row>
    <row r="40" spans="1:3">
      <c r="A40" s="2">
        <v>38</v>
      </c>
      <c r="B40" s="3" t="s">
        <v>73</v>
      </c>
      <c r="C40" s="3" t="s">
        <v>58</v>
      </c>
    </row>
    <row r="41" spans="1:3">
      <c r="A41" s="2">
        <v>39</v>
      </c>
      <c r="B41" s="3" t="s">
        <v>69</v>
      </c>
      <c r="C41" s="3" t="s">
        <v>60</v>
      </c>
    </row>
    <row r="42" spans="1:3">
      <c r="A42" s="2">
        <v>40</v>
      </c>
      <c r="B42" s="3" t="s">
        <v>69</v>
      </c>
      <c r="C42" s="3" t="s">
        <v>12</v>
      </c>
    </row>
    <row r="43" spans="1:3">
      <c r="A43" s="2">
        <v>41</v>
      </c>
      <c r="B43" s="3" t="s">
        <v>69</v>
      </c>
      <c r="C43" s="3" t="s">
        <v>43</v>
      </c>
    </row>
    <row r="44" spans="1:3">
      <c r="A44" s="2">
        <v>42</v>
      </c>
      <c r="B44" s="3" t="s">
        <v>68</v>
      </c>
      <c r="C44" s="3" t="s">
        <v>5</v>
      </c>
    </row>
    <row r="45" spans="1:3">
      <c r="A45" s="2">
        <v>43</v>
      </c>
      <c r="B45" s="3" t="s">
        <v>68</v>
      </c>
      <c r="C45" s="3" t="s">
        <v>19</v>
      </c>
    </row>
    <row r="46" spans="1:3">
      <c r="A46" s="2">
        <v>44</v>
      </c>
      <c r="B46" s="3" t="s">
        <v>68</v>
      </c>
      <c r="C46" s="3" t="s">
        <v>46</v>
      </c>
    </row>
    <row r="47" spans="1:3">
      <c r="A47" s="2">
        <v>45</v>
      </c>
      <c r="B47" s="3" t="s">
        <v>70</v>
      </c>
      <c r="C47" s="3" t="s">
        <v>7</v>
      </c>
    </row>
    <row r="48" spans="1:3">
      <c r="A48" s="2">
        <v>46</v>
      </c>
      <c r="B48" s="3" t="s">
        <v>70</v>
      </c>
      <c r="C48" s="3" t="s">
        <v>8</v>
      </c>
    </row>
    <row r="49" spans="1:3">
      <c r="A49" s="2">
        <v>47</v>
      </c>
      <c r="B49" s="3" t="s">
        <v>70</v>
      </c>
      <c r="C49" s="3" t="s">
        <v>13</v>
      </c>
    </row>
    <row r="50" spans="1:3">
      <c r="A50" s="2">
        <v>48</v>
      </c>
      <c r="B50" s="3" t="s">
        <v>70</v>
      </c>
      <c r="C50" s="3" t="s">
        <v>14</v>
      </c>
    </row>
    <row r="51" spans="1:3">
      <c r="A51" s="2">
        <v>49</v>
      </c>
      <c r="B51" s="3" t="s">
        <v>70</v>
      </c>
      <c r="C51" s="3" t="s">
        <v>15</v>
      </c>
    </row>
    <row r="52" spans="1:3">
      <c r="A52" s="2">
        <v>50</v>
      </c>
      <c r="B52" s="3" t="s">
        <v>70</v>
      </c>
      <c r="C52" s="3" t="s">
        <v>21</v>
      </c>
    </row>
    <row r="53" spans="1:3">
      <c r="A53" s="2">
        <v>51</v>
      </c>
      <c r="B53" s="3" t="s">
        <v>70</v>
      </c>
      <c r="C53" s="3" t="s">
        <v>32</v>
      </c>
    </row>
    <row r="54" spans="1:3">
      <c r="A54" s="2">
        <v>52</v>
      </c>
      <c r="B54" s="3" t="s">
        <v>70</v>
      </c>
      <c r="C54" s="3" t="s">
        <v>37</v>
      </c>
    </row>
    <row r="55" spans="1:3">
      <c r="A55" s="2">
        <v>53</v>
      </c>
      <c r="B55" s="3" t="s">
        <v>70</v>
      </c>
      <c r="C55" s="3" t="s">
        <v>45</v>
      </c>
    </row>
    <row r="56" spans="1:3">
      <c r="A56" s="2">
        <v>54</v>
      </c>
      <c r="B56" s="3" t="s">
        <v>70</v>
      </c>
      <c r="C56" s="3" t="s">
        <v>50</v>
      </c>
    </row>
    <row r="57" spans="1:3">
      <c r="A57" s="2">
        <v>55</v>
      </c>
      <c r="B57" s="3" t="s">
        <v>70</v>
      </c>
      <c r="C57" s="3" t="s">
        <v>54</v>
      </c>
    </row>
    <row r="58" spans="1:3">
      <c r="A58" s="2">
        <v>56</v>
      </c>
      <c r="B58" s="3" t="s">
        <v>70</v>
      </c>
      <c r="C58" s="3" t="s">
        <v>59</v>
      </c>
    </row>
    <row r="59" spans="1:3">
      <c r="A59" s="2">
        <v>57</v>
      </c>
      <c r="B59" s="3" t="s">
        <v>65</v>
      </c>
      <c r="C59" s="3" t="s">
        <v>0</v>
      </c>
    </row>
    <row r="60" spans="1:3">
      <c r="A60" s="2">
        <v>58</v>
      </c>
      <c r="B60" s="3" t="s">
        <v>65</v>
      </c>
      <c r="C60" s="3" t="s">
        <v>1</v>
      </c>
    </row>
    <row r="61" spans="1:3">
      <c r="A61" s="2">
        <v>59</v>
      </c>
      <c r="B61" s="3" t="s">
        <v>65</v>
      </c>
      <c r="C61" s="3" t="s">
        <v>35</v>
      </c>
    </row>
    <row r="62" spans="1:3">
      <c r="A62" s="2">
        <v>60</v>
      </c>
      <c r="B62" s="3" t="s">
        <v>65</v>
      </c>
      <c r="C62" s="3" t="s">
        <v>47</v>
      </c>
    </row>
    <row r="63" spans="1:3">
      <c r="A63" s="2">
        <v>61</v>
      </c>
      <c r="B63" s="3" t="s">
        <v>65</v>
      </c>
      <c r="C63" s="3" t="s">
        <v>52</v>
      </c>
    </row>
    <row r="64" spans="1:3">
      <c r="A64" s="2">
        <v>62</v>
      </c>
      <c r="B64" s="3" t="s">
        <v>65</v>
      </c>
      <c r="C64" s="3" t="s">
        <v>53</v>
      </c>
    </row>
    <row r="65" spans="1:3">
      <c r="A65" s="2">
        <v>63</v>
      </c>
      <c r="B65" s="3" t="s">
        <v>65</v>
      </c>
      <c r="C65" s="3" t="s">
        <v>56</v>
      </c>
    </row>
  </sheetData>
  <autoFilter ref="A2:C2">
    <sortState ref="A3:C65">
      <sortCondition descending="1" ref="B2"/>
    </sortState>
  </autoFilter>
  <mergeCells count="1">
    <mergeCell ref="A1:C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97"/>
  <sheetViews>
    <sheetView topLeftCell="B108" workbookViewId="0">
      <selection activeCell="E127" sqref="E127"/>
    </sheetView>
  </sheetViews>
  <sheetFormatPr defaultRowHeight="13.5"/>
  <cols>
    <col min="1" max="1" width="9" style="4"/>
    <col min="2" max="2" width="6.5" style="4" customWidth="1"/>
    <col min="3" max="3" width="19.5" style="14" customWidth="1"/>
    <col min="4" max="4" width="16.25" style="4" customWidth="1"/>
    <col min="5" max="6" width="13" style="4" customWidth="1"/>
    <col min="7" max="12" width="12.25" style="4" customWidth="1"/>
    <col min="13" max="14" width="13.875" style="4" customWidth="1"/>
    <col min="15" max="15" width="9.75" style="4" customWidth="1"/>
    <col min="16" max="16384" width="9" style="4"/>
  </cols>
  <sheetData>
    <row r="1" spans="1:16" ht="35.1" customHeight="1">
      <c r="A1" s="5" t="s">
        <v>79</v>
      </c>
      <c r="B1" s="21" t="s">
        <v>924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6" ht="24.95" customHeight="1">
      <c r="A2" s="5" t="s">
        <v>79</v>
      </c>
      <c r="B2" s="11" t="s">
        <v>923</v>
      </c>
      <c r="C2" s="12" t="s">
        <v>922</v>
      </c>
      <c r="D2" s="11" t="s">
        <v>921</v>
      </c>
      <c r="E2" s="11" t="s">
        <v>920</v>
      </c>
      <c r="F2" s="11" t="s">
        <v>919</v>
      </c>
      <c r="G2" s="11" t="s">
        <v>918</v>
      </c>
      <c r="H2" s="11" t="s">
        <v>917</v>
      </c>
      <c r="I2" s="11" t="s">
        <v>916</v>
      </c>
      <c r="J2" s="11" t="s">
        <v>915</v>
      </c>
      <c r="K2" s="11" t="s">
        <v>914</v>
      </c>
      <c r="L2" s="11" t="s">
        <v>913</v>
      </c>
      <c r="M2" s="11" t="s">
        <v>912</v>
      </c>
      <c r="N2" s="11" t="s">
        <v>911</v>
      </c>
      <c r="O2" s="11" t="s">
        <v>910</v>
      </c>
      <c r="P2" s="11" t="s">
        <v>909</v>
      </c>
    </row>
    <row r="3" spans="1:16" ht="24.95" customHeight="1">
      <c r="A3" s="5" t="s">
        <v>908</v>
      </c>
      <c r="B3" s="10">
        <v>1</v>
      </c>
      <c r="C3" s="13" t="s">
        <v>0</v>
      </c>
      <c r="D3" s="9" t="s">
        <v>907</v>
      </c>
      <c r="E3" s="9" t="s">
        <v>65</v>
      </c>
      <c r="F3" s="9" t="s">
        <v>83</v>
      </c>
      <c r="G3" s="8">
        <f>VALUE(CONCATENATE("0",245873.02))</f>
        <v>245873.02</v>
      </c>
      <c r="H3" s="8">
        <f>VALUE(CONCATENATE("0",239388.81))</f>
        <v>239388.81</v>
      </c>
      <c r="I3" s="8">
        <f>VALUE(CONCATENATE("0",6425.16))</f>
        <v>6425.16</v>
      </c>
      <c r="J3" s="8">
        <f>VALUE(CONCATENATE("0",0))</f>
        <v>0</v>
      </c>
      <c r="K3" s="8">
        <f>VALUE(CONCATENATE("0",59.05))</f>
        <v>59.05</v>
      </c>
      <c r="L3" s="8">
        <f t="shared" ref="L3:L34" si="0">VALUE(CONCATENATE("0",0))</f>
        <v>0</v>
      </c>
      <c r="M3" s="8">
        <f>VALUE(CONCATENATE("0","0.000000"))</f>
        <v>0</v>
      </c>
      <c r="N3" s="8">
        <f>VALUE(CONCATENATE("0","0.000000"))</f>
        <v>0</v>
      </c>
      <c r="O3" s="7">
        <f>VALUE(CONCATENATE("0",245873.02))+VALUE(CONCATENATE("0","0.000000"))-VALUE(CONCATENATE("0",239388.81))-VALUE(CONCATENATE("0",0))-VALUE(CONCATENATE("0",6425.16))-VALUE(CONCATENATE("0",59.05))-VALUE(CONCATENATE("0",0))-VALUE(CONCATENATE("0","0.000000"))</f>
        <v>-8.0007112046587281E-12</v>
      </c>
      <c r="P3" s="6">
        <v>1</v>
      </c>
    </row>
    <row r="4" spans="1:16" ht="29.1" customHeight="1">
      <c r="A4" s="5" t="s">
        <v>906</v>
      </c>
      <c r="B4" s="10">
        <v>2</v>
      </c>
      <c r="C4" s="13" t="s">
        <v>30</v>
      </c>
      <c r="D4" s="9" t="s">
        <v>905</v>
      </c>
      <c r="E4" s="9" t="s">
        <v>66</v>
      </c>
      <c r="F4" s="9" t="s">
        <v>282</v>
      </c>
      <c r="G4" s="8">
        <f>VALUE(CONCATENATE("0",19348.91))</f>
        <v>19348.91</v>
      </c>
      <c r="H4" s="8">
        <f>VALUE(CONCATENATE("0",0))</f>
        <v>0</v>
      </c>
      <c r="I4" s="8">
        <f>VALUE(CONCATENATE("0",0))</f>
        <v>0</v>
      </c>
      <c r="J4" s="8">
        <f>VALUE(CONCATENATE("0",0))</f>
        <v>0</v>
      </c>
      <c r="K4" s="8">
        <f>VALUE(CONCATENATE("0",19265))</f>
        <v>19265</v>
      </c>
      <c r="L4" s="8">
        <f t="shared" si="0"/>
        <v>0</v>
      </c>
      <c r="M4" s="8">
        <f>VALUE(CONCATENATE("0","518.300000"))</f>
        <v>518.29999999999995</v>
      </c>
      <c r="N4" s="8">
        <f>VALUE(CONCATENATE("0","434.390000"))</f>
        <v>434.39</v>
      </c>
      <c r="O4" s="7">
        <f>VALUE(CONCATENATE("0",19348.91))+VALUE(CONCATENATE("0","434.390000"))-VALUE(CONCATENATE("0",0))-VALUE(CONCATENATE("0",0))-VALUE(CONCATENATE("0",0))-VALUE(CONCATENATE("0",19265))-VALUE(CONCATENATE("0",0))-VALUE(CONCATENATE("0","518.300000"))</f>
        <v>0</v>
      </c>
      <c r="P4" s="6">
        <v>0.97380113530098622</v>
      </c>
    </row>
    <row r="5" spans="1:16" ht="24.95" customHeight="1">
      <c r="A5" s="5" t="s">
        <v>904</v>
      </c>
      <c r="B5" s="10">
        <v>3</v>
      </c>
      <c r="C5" s="13" t="s">
        <v>2</v>
      </c>
      <c r="D5" s="9" t="s">
        <v>903</v>
      </c>
      <c r="E5" s="9" t="s">
        <v>66</v>
      </c>
      <c r="F5" s="9" t="s">
        <v>83</v>
      </c>
      <c r="G5" s="8">
        <f>VALUE(CONCATENATE("0",5885.66))</f>
        <v>5885.66</v>
      </c>
      <c r="H5" s="8">
        <f>VALUE(CONCATENATE("0",0))</f>
        <v>0</v>
      </c>
      <c r="I5" s="8">
        <f>VALUE(CONCATENATE("0",0))</f>
        <v>0</v>
      </c>
      <c r="J5" s="8">
        <f>VALUE(CONCATENATE("0",920.5))</f>
        <v>920.5</v>
      </c>
      <c r="K5" s="8">
        <f>VALUE(CONCATENATE("0",4914.84))</f>
        <v>4914.84</v>
      </c>
      <c r="L5" s="8">
        <f t="shared" si="0"/>
        <v>0</v>
      </c>
      <c r="M5" s="8">
        <f>VALUE(CONCATENATE("0","278.760000"))</f>
        <v>278.76</v>
      </c>
      <c r="N5" s="8">
        <f>VALUE(CONCATENATE("0","228.440000"))</f>
        <v>228.44</v>
      </c>
      <c r="O5" s="7">
        <f>VALUE(CONCATENATE("0",5885.66))+VALUE(CONCATENATE("0","228.440000"))-VALUE(CONCATENATE("0",0))-VALUE(CONCATENATE("0",920.5))-VALUE(CONCATENATE("0",0))-VALUE(CONCATENATE("0",4914.84))-VALUE(CONCATENATE("0",0))-VALUE(CONCATENATE("0","278.760000"))</f>
        <v>-6.8212102632969618E-13</v>
      </c>
      <c r="P5" s="6">
        <v>0.95440702638164243</v>
      </c>
    </row>
    <row r="6" spans="1:16" ht="24.95" customHeight="1">
      <c r="A6" s="5" t="s">
        <v>902</v>
      </c>
      <c r="B6" s="10">
        <v>4</v>
      </c>
      <c r="C6" s="13" t="s">
        <v>31</v>
      </c>
      <c r="D6" s="9" t="s">
        <v>901</v>
      </c>
      <c r="E6" s="9" t="s">
        <v>67</v>
      </c>
      <c r="F6" s="9" t="s">
        <v>147</v>
      </c>
      <c r="G6" s="8">
        <f>VALUE(CONCATENATE("0",5302.32))</f>
        <v>5302.32</v>
      </c>
      <c r="H6" s="8">
        <f>VALUE(CONCATENATE("0",5074.61))</f>
        <v>5074.6099999999997</v>
      </c>
      <c r="I6" s="8">
        <f>VALUE(CONCATENATE("0",0))</f>
        <v>0</v>
      </c>
      <c r="J6" s="8">
        <f>VALUE(CONCATENATE("0",0))</f>
        <v>0</v>
      </c>
      <c r="K6" s="8">
        <f>VALUE(CONCATENATE("0",0))</f>
        <v>0</v>
      </c>
      <c r="L6" s="8">
        <f t="shared" si="0"/>
        <v>0</v>
      </c>
      <c r="M6" s="8">
        <f>VALUE(CONCATENATE("0","1701.660000"))</f>
        <v>1701.66</v>
      </c>
      <c r="N6" s="8">
        <f>VALUE(CONCATENATE("0","1473.950000"))</f>
        <v>1473.95</v>
      </c>
      <c r="O6" s="7">
        <f>VALUE(CONCATENATE("0",5302.32))+VALUE(CONCATENATE("0","1473.950000"))-VALUE(CONCATENATE("0",5074.61))-VALUE(CONCATENATE("0",0))-VALUE(CONCATENATE("0",0))-VALUE(CONCATENATE("0",0))-VALUE(CONCATENATE("0",0))-VALUE(CONCATENATE("0","1701.660000"))</f>
        <v>0</v>
      </c>
      <c r="P6" s="6">
        <v>0.7488795458268338</v>
      </c>
    </row>
    <row r="7" spans="1:16" ht="24.95" customHeight="1">
      <c r="A7" s="5" t="s">
        <v>900</v>
      </c>
      <c r="B7" s="10">
        <v>5</v>
      </c>
      <c r="C7" s="13" t="s">
        <v>1</v>
      </c>
      <c r="D7" s="9" t="s">
        <v>899</v>
      </c>
      <c r="E7" s="9" t="s">
        <v>65</v>
      </c>
      <c r="F7" s="9" t="s">
        <v>83</v>
      </c>
      <c r="G7" s="8">
        <f>VALUE(CONCATENATE("0",5171.13))</f>
        <v>5171.13</v>
      </c>
      <c r="H7" s="8">
        <f>VALUE(CONCATENATE("0",612))</f>
        <v>612</v>
      </c>
      <c r="I7" s="8">
        <f>VALUE(CONCATENATE("0",2270.8))</f>
        <v>2270.8000000000002</v>
      </c>
      <c r="J7" s="8">
        <f>VALUE(CONCATENATE("0",174.42))</f>
        <v>174.42</v>
      </c>
      <c r="K7" s="8">
        <f>VALUE(CONCATENATE("0",2079.36))</f>
        <v>2079.36</v>
      </c>
      <c r="L7" s="8">
        <f t="shared" si="0"/>
        <v>0</v>
      </c>
      <c r="M7" s="8">
        <f>VALUE(CONCATENATE("0","34.550000"))</f>
        <v>34.549999999999997</v>
      </c>
      <c r="N7" s="8">
        <f>VALUE(CONCATENATE("0","0.000000"))</f>
        <v>0</v>
      </c>
      <c r="O7" s="7">
        <f>VALUE(CONCATENATE("0",5171.13))+VALUE(CONCATENATE("0","0.000000"))-VALUE(CONCATENATE("0",612))-VALUE(CONCATENATE("0",174.42))-VALUE(CONCATENATE("0",2270.8))-VALUE(CONCATENATE("0",2079.36))-VALUE(CONCATENATE("0",0))-VALUE(CONCATENATE("0","34.550000"))</f>
        <v>-2.7000623958883807E-13</v>
      </c>
      <c r="P7" s="6">
        <v>0.99331867502847537</v>
      </c>
    </row>
    <row r="8" spans="1:16" ht="24.95" customHeight="1">
      <c r="A8" s="5" t="s">
        <v>898</v>
      </c>
      <c r="B8" s="10">
        <v>6</v>
      </c>
      <c r="C8" s="13" t="s">
        <v>32</v>
      </c>
      <c r="D8" s="9" t="s">
        <v>897</v>
      </c>
      <c r="E8" s="9" t="s">
        <v>96</v>
      </c>
      <c r="F8" s="9" t="s">
        <v>83</v>
      </c>
      <c r="G8" s="8">
        <f>VALUE(CONCATENATE("0",1682.8658))</f>
        <v>1682.8658</v>
      </c>
      <c r="H8" s="8">
        <f>VALUE(CONCATENATE("0",1177))</f>
        <v>1177</v>
      </c>
      <c r="I8" s="8">
        <f>VALUE(CONCATENATE("0",434.74))</f>
        <v>434.74</v>
      </c>
      <c r="J8" s="8">
        <f t="shared" ref="J8:J39" si="1">VALUE(CONCATENATE("0",0))</f>
        <v>0</v>
      </c>
      <c r="K8" s="8">
        <f>VALUE(CONCATENATE("0",75.14))</f>
        <v>75.14</v>
      </c>
      <c r="L8" s="8">
        <f t="shared" si="0"/>
        <v>0</v>
      </c>
      <c r="M8" s="8">
        <f>VALUE(CONCATENATE("0","0.000000"))</f>
        <v>0</v>
      </c>
      <c r="N8" s="8">
        <f>VALUE(CONCATENATE("0","4.014200"))</f>
        <v>4.0141999999999998</v>
      </c>
      <c r="O8" s="7">
        <f>VALUE(CONCATENATE("0",1682.8658))+VALUE(CONCATENATE("0","4.014200"))-VALUE(CONCATENATE("0",1177))-VALUE(CONCATENATE("0",0))-VALUE(CONCATENATE("0",434.74))-VALUE(CONCATENATE("0",75.14))-VALUE(CONCATENATE("0",0))-VALUE(CONCATENATE("0","0.000000"))</f>
        <v>9.9475983006414026E-14</v>
      </c>
      <c r="P8" s="6">
        <v>1</v>
      </c>
    </row>
    <row r="9" spans="1:16" ht="29.1" customHeight="1">
      <c r="A9" s="5" t="s">
        <v>896</v>
      </c>
      <c r="B9" s="10">
        <v>7</v>
      </c>
      <c r="C9" s="13" t="s">
        <v>20</v>
      </c>
      <c r="D9" s="9" t="s">
        <v>895</v>
      </c>
      <c r="E9" s="9" t="s">
        <v>66</v>
      </c>
      <c r="F9" s="9" t="s">
        <v>382</v>
      </c>
      <c r="G9" s="8">
        <f>VALUE(CONCATENATE("0",1614.551))</f>
        <v>1614.5509999999999</v>
      </c>
      <c r="H9" s="8">
        <f t="shared" ref="H9:H17" si="2">VALUE(CONCATENATE("0",0))</f>
        <v>0</v>
      </c>
      <c r="I9" s="8">
        <f>VALUE(CONCATENATE("0",1614.551))</f>
        <v>1614.5509999999999</v>
      </c>
      <c r="J9" s="8">
        <f t="shared" si="1"/>
        <v>0</v>
      </c>
      <c r="K9" s="8">
        <f>VALUE(CONCATENATE("0",0))</f>
        <v>0</v>
      </c>
      <c r="L9" s="8">
        <f t="shared" si="0"/>
        <v>0</v>
      </c>
      <c r="M9" s="8">
        <f>VALUE(CONCATENATE("0","0.000000"))</f>
        <v>0</v>
      </c>
      <c r="N9" s="8">
        <f>VALUE(CONCATENATE("0","0.000000"))</f>
        <v>0</v>
      </c>
      <c r="O9" s="7">
        <f>VALUE(CONCATENATE("0",1614.551))+VALUE(CONCATENATE("0","0.000000"))-VALUE(CONCATENATE("0",0))-VALUE(CONCATENATE("0",0))-VALUE(CONCATENATE("0",1614.551))-VALUE(CONCATENATE("0",0))-VALUE(CONCATENATE("0",0))-VALUE(CONCATENATE("0","0.000000"))</f>
        <v>0</v>
      </c>
      <c r="P9" s="6">
        <v>1</v>
      </c>
    </row>
    <row r="10" spans="1:16" ht="24.95" customHeight="1">
      <c r="A10" s="5" t="s">
        <v>894</v>
      </c>
      <c r="B10" s="10">
        <v>8</v>
      </c>
      <c r="C10" s="13" t="s">
        <v>33</v>
      </c>
      <c r="D10" s="9" t="s">
        <v>893</v>
      </c>
      <c r="E10" s="9" t="s">
        <v>66</v>
      </c>
      <c r="F10" s="9" t="s">
        <v>83</v>
      </c>
      <c r="G10" s="8">
        <f>VALUE(CONCATENATE("0",1265.08))</f>
        <v>1265.08</v>
      </c>
      <c r="H10" s="8">
        <f t="shared" si="2"/>
        <v>0</v>
      </c>
      <c r="I10" s="8">
        <f>VALUE(CONCATENATE("0",1265.08))</f>
        <v>1265.08</v>
      </c>
      <c r="J10" s="8">
        <f t="shared" si="1"/>
        <v>0</v>
      </c>
      <c r="K10" s="8">
        <f>VALUE(CONCATENATE("0",0))</f>
        <v>0</v>
      </c>
      <c r="L10" s="8">
        <f t="shared" si="0"/>
        <v>0</v>
      </c>
      <c r="M10" s="8">
        <f>VALUE(CONCATENATE("0","0.000000"))</f>
        <v>0</v>
      </c>
      <c r="N10" s="8">
        <f>VALUE(CONCATENATE("0","0.000000"))</f>
        <v>0</v>
      </c>
      <c r="O10" s="7">
        <f>VALUE(CONCATENATE("0",1265.08))+VALUE(CONCATENATE("0","0.000000"))-VALUE(CONCATENATE("0",0))-VALUE(CONCATENATE("0",0))-VALUE(CONCATENATE("0",1265.08))-VALUE(CONCATENATE("0",0))-VALUE(CONCATENATE("0",0))-VALUE(CONCATENATE("0","0.000000"))</f>
        <v>0</v>
      </c>
      <c r="P10" s="6">
        <v>1</v>
      </c>
    </row>
    <row r="11" spans="1:16" ht="24.95" customHeight="1">
      <c r="A11" s="5" t="s">
        <v>892</v>
      </c>
      <c r="B11" s="10">
        <v>9</v>
      </c>
      <c r="C11" s="13" t="s">
        <v>34</v>
      </c>
      <c r="D11" s="9" t="s">
        <v>891</v>
      </c>
      <c r="E11" s="9" t="s">
        <v>66</v>
      </c>
      <c r="F11" s="9" t="s">
        <v>83</v>
      </c>
      <c r="G11" s="8">
        <f>VALUE(CONCATENATE("0",1243.42))</f>
        <v>1243.42</v>
      </c>
      <c r="H11" s="8">
        <f t="shared" si="2"/>
        <v>0</v>
      </c>
      <c r="I11" s="8">
        <f>VALUE(CONCATENATE("0",739.16))</f>
        <v>739.16</v>
      </c>
      <c r="J11" s="8">
        <f t="shared" si="1"/>
        <v>0</v>
      </c>
      <c r="K11" s="8">
        <f>VALUE(CONCATENATE("0",504.26))</f>
        <v>504.26</v>
      </c>
      <c r="L11" s="8">
        <f t="shared" si="0"/>
        <v>0</v>
      </c>
      <c r="M11" s="8">
        <f>VALUE(CONCATENATE("0","0.000000"))</f>
        <v>0</v>
      </c>
      <c r="N11" s="8">
        <f>VALUE(CONCATENATE("0","0.000000"))</f>
        <v>0</v>
      </c>
      <c r="O11" s="7">
        <f>VALUE(CONCATENATE("0",1243.42))+VALUE(CONCATENATE("0","0.000000"))-VALUE(CONCATENATE("0",0))-VALUE(CONCATENATE("0",0))-VALUE(CONCATENATE("0",739.16))-VALUE(CONCATENATE("0",504.26))-VALUE(CONCATENATE("0",0))-VALUE(CONCATENATE("0","0.000000"))</f>
        <v>1.1368683772161603E-13</v>
      </c>
      <c r="P11" s="6">
        <v>1</v>
      </c>
    </row>
    <row r="12" spans="1:16" ht="24.95" customHeight="1">
      <c r="A12" s="5" t="s">
        <v>890</v>
      </c>
      <c r="B12" s="10">
        <v>10</v>
      </c>
      <c r="C12" s="13" t="s">
        <v>35</v>
      </c>
      <c r="D12" s="9" t="s">
        <v>889</v>
      </c>
      <c r="E12" s="9" t="s">
        <v>65</v>
      </c>
      <c r="F12" s="9" t="s">
        <v>83</v>
      </c>
      <c r="G12" s="8">
        <f>VALUE(CONCATENATE("0",1147.92))</f>
        <v>1147.92</v>
      </c>
      <c r="H12" s="8">
        <f t="shared" si="2"/>
        <v>0</v>
      </c>
      <c r="I12" s="8">
        <f>VALUE(CONCATENATE("0",754.98))</f>
        <v>754.98</v>
      </c>
      <c r="J12" s="8">
        <f t="shared" si="1"/>
        <v>0</v>
      </c>
      <c r="K12" s="8">
        <f>VALUE(CONCATENATE("0",97.35))</f>
        <v>97.35</v>
      </c>
      <c r="L12" s="8">
        <f t="shared" si="0"/>
        <v>0</v>
      </c>
      <c r="M12" s="8">
        <f>VALUE(CONCATENATE("0","555.790000"))</f>
        <v>555.79</v>
      </c>
      <c r="N12" s="8">
        <f>VALUE(CONCATENATE("0","260.200000"))</f>
        <v>260.2</v>
      </c>
      <c r="O12" s="7">
        <f>VALUE(CONCATENATE("0",1147.92))+VALUE(CONCATENATE("0","260.200000"))-VALUE(CONCATENATE("0",0))-VALUE(CONCATENATE("0",0))-VALUE(CONCATENATE("0",754.98))-VALUE(CONCATENATE("0",97.35))-VALUE(CONCATENATE("0",0))-VALUE(CONCATENATE("0","555.790000"))</f>
        <v>0</v>
      </c>
      <c r="P12" s="6">
        <v>0.60529642360026137</v>
      </c>
    </row>
    <row r="13" spans="1:16" ht="24.95" customHeight="1">
      <c r="A13" s="5" t="s">
        <v>888</v>
      </c>
      <c r="B13" s="10">
        <v>11</v>
      </c>
      <c r="C13" s="13" t="s">
        <v>36</v>
      </c>
      <c r="D13" s="9" t="s">
        <v>887</v>
      </c>
      <c r="E13" s="9" t="s">
        <v>66</v>
      </c>
      <c r="F13" s="9" t="s">
        <v>83</v>
      </c>
      <c r="G13" s="8">
        <f>VALUE(CONCATENATE("0",1094.548))</f>
        <v>1094.548</v>
      </c>
      <c r="H13" s="8">
        <f t="shared" si="2"/>
        <v>0</v>
      </c>
      <c r="I13" s="8">
        <f>VALUE(CONCATENATE("0",1074.544))</f>
        <v>1074.5440000000001</v>
      </c>
      <c r="J13" s="8">
        <f t="shared" si="1"/>
        <v>0</v>
      </c>
      <c r="K13" s="8">
        <f>VALUE(CONCATENATE("0",92.1))</f>
        <v>92.1</v>
      </c>
      <c r="L13" s="8">
        <f t="shared" si="0"/>
        <v>0</v>
      </c>
      <c r="M13" s="8">
        <f>VALUE(CONCATENATE("0","14.690000"))</f>
        <v>14.69</v>
      </c>
      <c r="N13" s="8">
        <f>VALUE(CONCATENATE("0","86.786000"))</f>
        <v>86.786000000000001</v>
      </c>
      <c r="O13" s="7">
        <f>VALUE(CONCATENATE("0",1094.548))+VALUE(CONCATENATE("0","86.786000"))-VALUE(CONCATENATE("0",0))-VALUE(CONCATENATE("0",0))-VALUE(CONCATENATE("0",1074.544))-VALUE(CONCATENATE("0",92.1))-VALUE(CONCATENATE("0",0))-VALUE(CONCATENATE("0","14.690000"))</f>
        <v>-3.0198066269804258E-14</v>
      </c>
      <c r="P13" s="6">
        <v>0.98756490543741227</v>
      </c>
    </row>
    <row r="14" spans="1:16" ht="24.95" customHeight="1">
      <c r="A14" s="5" t="s">
        <v>886</v>
      </c>
      <c r="B14" s="10">
        <v>12</v>
      </c>
      <c r="C14" s="13" t="s">
        <v>37</v>
      </c>
      <c r="D14" s="9" t="s">
        <v>643</v>
      </c>
      <c r="E14" s="9" t="s">
        <v>96</v>
      </c>
      <c r="F14" s="9" t="s">
        <v>83</v>
      </c>
      <c r="G14" s="8">
        <f>VALUE(CONCATENATE("0",999.34))</f>
        <v>999.34</v>
      </c>
      <c r="H14" s="8">
        <f t="shared" si="2"/>
        <v>0</v>
      </c>
      <c r="I14" s="8">
        <f>VALUE(CONCATENATE("0",999.34))</f>
        <v>999.34</v>
      </c>
      <c r="J14" s="8">
        <f t="shared" si="1"/>
        <v>0</v>
      </c>
      <c r="K14" s="8">
        <f>VALUE(CONCATENATE("0",0))</f>
        <v>0</v>
      </c>
      <c r="L14" s="8">
        <f t="shared" si="0"/>
        <v>0</v>
      </c>
      <c r="M14" s="8">
        <f>VALUE(CONCATENATE("0","0.000000"))</f>
        <v>0</v>
      </c>
      <c r="N14" s="8">
        <f>VALUE(CONCATENATE("0","0.000000"))</f>
        <v>0</v>
      </c>
      <c r="O14" s="7">
        <f>VALUE(CONCATENATE("0",999.34))+VALUE(CONCATENATE("0","0.000000"))-VALUE(CONCATENATE("0",0))-VALUE(CONCATENATE("0",0))-VALUE(CONCATENATE("0",999.34))-VALUE(CONCATENATE("0",0))-VALUE(CONCATENATE("0",0))-VALUE(CONCATENATE("0","0.000000"))</f>
        <v>0</v>
      </c>
      <c r="P14" s="6">
        <v>1</v>
      </c>
    </row>
    <row r="15" spans="1:16" ht="24.95" customHeight="1">
      <c r="A15" s="5" t="s">
        <v>885</v>
      </c>
      <c r="B15" s="10">
        <v>13</v>
      </c>
      <c r="C15" s="13" t="s">
        <v>4</v>
      </c>
      <c r="D15" s="9" t="s">
        <v>884</v>
      </c>
      <c r="E15" s="9" t="s">
        <v>66</v>
      </c>
      <c r="F15" s="9" t="s">
        <v>83</v>
      </c>
      <c r="G15" s="8">
        <f>VALUE(CONCATENATE("0",914.02))</f>
        <v>914.02</v>
      </c>
      <c r="H15" s="8">
        <f t="shared" si="2"/>
        <v>0</v>
      </c>
      <c r="I15" s="8">
        <f>VALUE(CONCATENATE("0",0))</f>
        <v>0</v>
      </c>
      <c r="J15" s="8">
        <f t="shared" si="1"/>
        <v>0</v>
      </c>
      <c r="K15" s="8">
        <f>VALUE(CONCATENATE("0",946.94))</f>
        <v>946.94</v>
      </c>
      <c r="L15" s="8">
        <f t="shared" si="0"/>
        <v>0</v>
      </c>
      <c r="M15" s="8">
        <f>VALUE(CONCATENATE("0","0.000000"))</f>
        <v>0</v>
      </c>
      <c r="N15" s="8">
        <f>VALUE(CONCATENATE("0","32.920000"))</f>
        <v>32.92</v>
      </c>
      <c r="O15" s="7">
        <f>VALUE(CONCATENATE("0",914.02))+VALUE(CONCATENATE("0","32.920000"))-VALUE(CONCATENATE("0",0))-VALUE(CONCATENATE("0",0))-VALUE(CONCATENATE("0",0))-VALUE(CONCATENATE("0",946.94))-VALUE(CONCATENATE("0",0))-VALUE(CONCATENATE("0","0.000000"))</f>
        <v>-1.1368683772161603E-13</v>
      </c>
      <c r="P15" s="6">
        <v>1</v>
      </c>
    </row>
    <row r="16" spans="1:16" ht="24.95" customHeight="1">
      <c r="A16" s="5" t="s">
        <v>883</v>
      </c>
      <c r="B16" s="10">
        <v>14</v>
      </c>
      <c r="C16" s="13" t="s">
        <v>11</v>
      </c>
      <c r="D16" s="9" t="s">
        <v>882</v>
      </c>
      <c r="E16" s="9" t="s">
        <v>67</v>
      </c>
      <c r="F16" s="9" t="s">
        <v>83</v>
      </c>
      <c r="G16" s="8">
        <f>VALUE(CONCATENATE("0",797.443))</f>
        <v>797.44299999999998</v>
      </c>
      <c r="H16" s="8">
        <f t="shared" si="2"/>
        <v>0</v>
      </c>
      <c r="I16" s="8">
        <f>VALUE(CONCATENATE("0",0))</f>
        <v>0</v>
      </c>
      <c r="J16" s="8">
        <f t="shared" si="1"/>
        <v>0</v>
      </c>
      <c r="K16" s="8">
        <f>VALUE(CONCATENATE("0",801.36))</f>
        <v>801.36</v>
      </c>
      <c r="L16" s="8">
        <f t="shared" si="0"/>
        <v>0</v>
      </c>
      <c r="M16" s="8">
        <f>VALUE(CONCATENATE("0","1.813000"))</f>
        <v>1.8129999999999999</v>
      </c>
      <c r="N16" s="8">
        <f>VALUE(CONCATENATE("0","5.730000"))</f>
        <v>5.73</v>
      </c>
      <c r="O16" s="7">
        <f>VALUE(CONCATENATE("0",797.443))+VALUE(CONCATENATE("0","5.730000"))-VALUE(CONCATENATE("0",0))-VALUE(CONCATENATE("0",0))-VALUE(CONCATENATE("0",0))-VALUE(CONCATENATE("0",801.36))-VALUE(CONCATENATE("0",0))-VALUE(CONCATENATE("0","1.813000"))</f>
        <v>-1.1768364061026659E-14</v>
      </c>
      <c r="P16" s="6">
        <v>0.99774270300420953</v>
      </c>
    </row>
    <row r="17" spans="1:16" ht="29.1" customHeight="1">
      <c r="A17" s="5" t="s">
        <v>881</v>
      </c>
      <c r="B17" s="10">
        <v>15</v>
      </c>
      <c r="C17" s="13" t="s">
        <v>38</v>
      </c>
      <c r="D17" s="9" t="s">
        <v>880</v>
      </c>
      <c r="E17" s="9" t="s">
        <v>66</v>
      </c>
      <c r="F17" s="9" t="s">
        <v>83</v>
      </c>
      <c r="G17" s="8">
        <f>VALUE(CONCATENATE("0",763))</f>
        <v>763</v>
      </c>
      <c r="H17" s="8">
        <f t="shared" si="2"/>
        <v>0</v>
      </c>
      <c r="I17" s="8">
        <f>VALUE(CONCATENATE("0",760))</f>
        <v>760</v>
      </c>
      <c r="J17" s="8">
        <f t="shared" si="1"/>
        <v>0</v>
      </c>
      <c r="K17" s="8">
        <f>VALUE(CONCATENATE("0",0))</f>
        <v>0</v>
      </c>
      <c r="L17" s="8">
        <f t="shared" si="0"/>
        <v>0</v>
      </c>
      <c r="M17" s="8">
        <f>VALUE(CONCATENATE("0","3.000000"))</f>
        <v>3</v>
      </c>
      <c r="N17" s="8">
        <f t="shared" ref="N17:N23" si="3">VALUE(CONCATENATE("0","0.000000"))</f>
        <v>0</v>
      </c>
      <c r="O17" s="7">
        <f>VALUE(CONCATENATE("0",763))+VALUE(CONCATENATE("0","0.000000"))-VALUE(CONCATENATE("0",0))-VALUE(CONCATENATE("0",0))-VALUE(CONCATENATE("0",760))-VALUE(CONCATENATE("0",0))-VALUE(CONCATENATE("0",0))-VALUE(CONCATENATE("0","3.000000"))</f>
        <v>0</v>
      </c>
      <c r="P17" s="6">
        <v>0.99606815203145482</v>
      </c>
    </row>
    <row r="18" spans="1:16" ht="24.95" customHeight="1">
      <c r="A18" s="5" t="s">
        <v>879</v>
      </c>
      <c r="B18" s="10">
        <v>16</v>
      </c>
      <c r="C18" s="13" t="s">
        <v>5</v>
      </c>
      <c r="D18" s="9" t="s">
        <v>878</v>
      </c>
      <c r="E18" s="9" t="s">
        <v>68</v>
      </c>
      <c r="F18" s="9" t="s">
        <v>83</v>
      </c>
      <c r="G18" s="8">
        <f>VALUE(CONCATENATE("0",618.26))</f>
        <v>618.26</v>
      </c>
      <c r="H18" s="8">
        <f>VALUE(CONCATENATE("0",347.4))</f>
        <v>347.4</v>
      </c>
      <c r="I18" s="8">
        <f>VALUE(CONCATENATE("0",270.86))</f>
        <v>270.86</v>
      </c>
      <c r="J18" s="8">
        <f t="shared" si="1"/>
        <v>0</v>
      </c>
      <c r="K18" s="8">
        <f>VALUE(CONCATENATE("0",0))</f>
        <v>0</v>
      </c>
      <c r="L18" s="8">
        <f t="shared" si="0"/>
        <v>0</v>
      </c>
      <c r="M18" s="8">
        <f>VALUE(CONCATENATE("0","0.000000"))</f>
        <v>0</v>
      </c>
      <c r="N18" s="8">
        <f t="shared" si="3"/>
        <v>0</v>
      </c>
      <c r="O18" s="7">
        <f>VALUE(CONCATENATE("0",618.26))+VALUE(CONCATENATE("0","0.000000"))-VALUE(CONCATENATE("0",347.4))-VALUE(CONCATENATE("0",0))-VALUE(CONCATENATE("0",270.86))-VALUE(CONCATENATE("0",0))-VALUE(CONCATENATE("0",0))-VALUE(CONCATENATE("0","0.000000"))</f>
        <v>0</v>
      </c>
      <c r="P18" s="6">
        <v>1</v>
      </c>
    </row>
    <row r="19" spans="1:16" ht="29.1" customHeight="1">
      <c r="A19" s="5" t="s">
        <v>877</v>
      </c>
      <c r="B19" s="10">
        <v>17</v>
      </c>
      <c r="C19" s="13" t="s">
        <v>26</v>
      </c>
      <c r="D19" s="9" t="s">
        <v>876</v>
      </c>
      <c r="E19" s="9" t="s">
        <v>66</v>
      </c>
      <c r="F19" s="9" t="s">
        <v>83</v>
      </c>
      <c r="G19" s="8">
        <f>VALUE(CONCATENATE("0",557.597))</f>
        <v>557.59699999999998</v>
      </c>
      <c r="H19" s="8">
        <f t="shared" ref="H19:H50" si="4">VALUE(CONCATENATE("0",0))</f>
        <v>0</v>
      </c>
      <c r="I19" s="8">
        <f>VALUE(CONCATENATE("0",557.48))</f>
        <v>557.48</v>
      </c>
      <c r="J19" s="8">
        <f t="shared" si="1"/>
        <v>0</v>
      </c>
      <c r="K19" s="8">
        <f>VALUE(CONCATENATE("0",0))</f>
        <v>0</v>
      </c>
      <c r="L19" s="8">
        <f t="shared" si="0"/>
        <v>0</v>
      </c>
      <c r="M19" s="8">
        <f>VALUE(CONCATENATE("0","0.117000"))</f>
        <v>0.11700000000000001</v>
      </c>
      <c r="N19" s="8">
        <f t="shared" si="3"/>
        <v>0</v>
      </c>
      <c r="O19" s="7">
        <f>VALUE(CONCATENATE("0",557.597))+VALUE(CONCATENATE("0","0.000000"))-VALUE(CONCATENATE("0",0))-VALUE(CONCATENATE("0",0))-VALUE(CONCATENATE("0",557.48))-VALUE(CONCATENATE("0",0))-VALUE(CONCATENATE("0",0))-VALUE(CONCATENATE("0","0.117000"))</f>
        <v>-3.8205549834913199E-14</v>
      </c>
      <c r="P19" s="6">
        <v>0.99979017103750567</v>
      </c>
    </row>
    <row r="20" spans="1:16" ht="24.95" customHeight="1">
      <c r="A20" s="5" t="s">
        <v>875</v>
      </c>
      <c r="B20" s="10">
        <v>18</v>
      </c>
      <c r="C20" s="13" t="s">
        <v>39</v>
      </c>
      <c r="D20" s="9" t="s">
        <v>874</v>
      </c>
      <c r="E20" s="9" t="s">
        <v>66</v>
      </c>
      <c r="F20" s="9" t="s">
        <v>83</v>
      </c>
      <c r="G20" s="8">
        <f>VALUE(CONCATENATE("0",526.7))</f>
        <v>526.70000000000005</v>
      </c>
      <c r="H20" s="8">
        <f t="shared" si="4"/>
        <v>0</v>
      </c>
      <c r="I20" s="8">
        <f>VALUE(CONCATENATE("0",130.52))</f>
        <v>130.52000000000001</v>
      </c>
      <c r="J20" s="8">
        <f t="shared" si="1"/>
        <v>0</v>
      </c>
      <c r="K20" s="8">
        <f>VALUE(CONCATENATE("0",396.18))</f>
        <v>396.18</v>
      </c>
      <c r="L20" s="8">
        <f t="shared" si="0"/>
        <v>0</v>
      </c>
      <c r="M20" s="8">
        <f>VALUE(CONCATENATE("0","0.000000"))</f>
        <v>0</v>
      </c>
      <c r="N20" s="8">
        <f t="shared" si="3"/>
        <v>0</v>
      </c>
      <c r="O20" s="7">
        <f>VALUE(CONCATENATE("0",526.7))+VALUE(CONCATENATE("0","0.000000"))-VALUE(CONCATENATE("0",0))-VALUE(CONCATENATE("0",0))-VALUE(CONCATENATE("0",130.52))-VALUE(CONCATENATE("0",396.18))-VALUE(CONCATENATE("0",0))-VALUE(CONCATENATE("0","0.000000"))</f>
        <v>5.6843418860808015E-14</v>
      </c>
      <c r="P20" s="6">
        <v>1</v>
      </c>
    </row>
    <row r="21" spans="1:16" ht="24.95" customHeight="1">
      <c r="A21" s="5" t="s">
        <v>873</v>
      </c>
      <c r="B21" s="10">
        <v>19</v>
      </c>
      <c r="C21" s="13" t="s">
        <v>40</v>
      </c>
      <c r="D21" s="9" t="s">
        <v>872</v>
      </c>
      <c r="E21" s="9" t="s">
        <v>66</v>
      </c>
      <c r="F21" s="9" t="s">
        <v>147</v>
      </c>
      <c r="G21" s="8">
        <f>VALUE(CONCATENATE("0",520.24))</f>
        <v>520.24</v>
      </c>
      <c r="H21" s="8">
        <f t="shared" si="4"/>
        <v>0</v>
      </c>
      <c r="I21" s="8">
        <f>VALUE(CONCATENATE("0",520.24))</f>
        <v>520.24</v>
      </c>
      <c r="J21" s="8">
        <f t="shared" si="1"/>
        <v>0</v>
      </c>
      <c r="K21" s="8">
        <f>VALUE(CONCATENATE("0",0))</f>
        <v>0</v>
      </c>
      <c r="L21" s="8">
        <f t="shared" si="0"/>
        <v>0</v>
      </c>
      <c r="M21" s="8">
        <f>VALUE(CONCATENATE("0","0.000000"))</f>
        <v>0</v>
      </c>
      <c r="N21" s="8">
        <f t="shared" si="3"/>
        <v>0</v>
      </c>
      <c r="O21" s="7">
        <f>VALUE(CONCATENATE("0",520.24))+VALUE(CONCATENATE("0","0.000000"))-VALUE(CONCATENATE("0",0))-VALUE(CONCATENATE("0",0))-VALUE(CONCATENATE("0",520.24))-VALUE(CONCATENATE("0",0))-VALUE(CONCATENATE("0",0))-VALUE(CONCATENATE("0","0.000000"))</f>
        <v>0</v>
      </c>
      <c r="P21" s="6">
        <v>1</v>
      </c>
    </row>
    <row r="22" spans="1:16" ht="24.95" customHeight="1">
      <c r="A22" s="5" t="s">
        <v>871</v>
      </c>
      <c r="B22" s="10">
        <v>20</v>
      </c>
      <c r="C22" s="13" t="s">
        <v>41</v>
      </c>
      <c r="D22" s="9" t="s">
        <v>870</v>
      </c>
      <c r="E22" s="9" t="s">
        <v>66</v>
      </c>
      <c r="F22" s="9" t="s">
        <v>83</v>
      </c>
      <c r="G22" s="8">
        <f>VALUE(CONCATENATE("0",482.62))</f>
        <v>482.62</v>
      </c>
      <c r="H22" s="8">
        <f t="shared" si="4"/>
        <v>0</v>
      </c>
      <c r="I22" s="8">
        <f>VALUE(CONCATENATE("0",482.06))</f>
        <v>482.06</v>
      </c>
      <c r="J22" s="8">
        <f t="shared" si="1"/>
        <v>0</v>
      </c>
      <c r="K22" s="8">
        <f>VALUE(CONCATENATE("0",0.56))</f>
        <v>0.56000000000000005</v>
      </c>
      <c r="L22" s="8">
        <f t="shared" si="0"/>
        <v>0</v>
      </c>
      <c r="M22" s="8">
        <f>VALUE(CONCATENATE("0","0.000000"))</f>
        <v>0</v>
      </c>
      <c r="N22" s="8">
        <f t="shared" si="3"/>
        <v>0</v>
      </c>
      <c r="O22" s="7">
        <f>VALUE(CONCATENATE("0",482.62))+VALUE(CONCATENATE("0","0.000000"))-VALUE(CONCATENATE("0",0))-VALUE(CONCATENATE("0",0))-VALUE(CONCATENATE("0",482.06))-VALUE(CONCATENATE("0",0.56))-VALUE(CONCATENATE("0",0))-VALUE(CONCATENATE("0","0.000000"))</f>
        <v>2.2204460492503131E-15</v>
      </c>
      <c r="P22" s="6">
        <v>1</v>
      </c>
    </row>
    <row r="23" spans="1:16" ht="24.95" customHeight="1">
      <c r="A23" s="5" t="s">
        <v>869</v>
      </c>
      <c r="B23" s="10">
        <v>21</v>
      </c>
      <c r="C23" s="13" t="s">
        <v>3</v>
      </c>
      <c r="D23" s="9" t="s">
        <v>868</v>
      </c>
      <c r="E23" s="9" t="s">
        <v>67</v>
      </c>
      <c r="F23" s="9" t="s">
        <v>83</v>
      </c>
      <c r="G23" s="8">
        <f>VALUE(CONCATENATE("0",462.9))</f>
        <v>462.9</v>
      </c>
      <c r="H23" s="8">
        <f t="shared" si="4"/>
        <v>0</v>
      </c>
      <c r="I23" s="8">
        <f>VALUE(CONCATENATE("0",386.48))</f>
        <v>386.48</v>
      </c>
      <c r="J23" s="8">
        <f t="shared" si="1"/>
        <v>0</v>
      </c>
      <c r="K23" s="8">
        <f>VALUE(CONCATENATE("0",73.42))</f>
        <v>73.42</v>
      </c>
      <c r="L23" s="8">
        <f t="shared" si="0"/>
        <v>0</v>
      </c>
      <c r="M23" s="8">
        <f>VALUE(CONCATENATE("0","3.000000"))</f>
        <v>3</v>
      </c>
      <c r="N23" s="8">
        <f t="shared" si="3"/>
        <v>0</v>
      </c>
      <c r="O23" s="7">
        <f>VALUE(CONCATENATE("0",462.9))+VALUE(CONCATENATE("0","0.000000"))-VALUE(CONCATENATE("0",0))-VALUE(CONCATENATE("0",0))-VALUE(CONCATENATE("0",386.48))-VALUE(CONCATENATE("0",73.42))-VALUE(CONCATENATE("0",0))-VALUE(CONCATENATE("0","3.000000"))</f>
        <v>-4.2632564145606011E-14</v>
      </c>
      <c r="P23" s="6">
        <v>0.99351911860012965</v>
      </c>
    </row>
    <row r="24" spans="1:16" ht="29.1" customHeight="1">
      <c r="A24" s="5" t="s">
        <v>867</v>
      </c>
      <c r="B24" s="10">
        <v>22</v>
      </c>
      <c r="C24" s="13" t="s">
        <v>42</v>
      </c>
      <c r="D24" s="9" t="s">
        <v>866</v>
      </c>
      <c r="E24" s="9" t="s">
        <v>66</v>
      </c>
      <c r="F24" s="9" t="s">
        <v>83</v>
      </c>
      <c r="G24" s="8">
        <f>VALUE(CONCATENATE("0",345))</f>
        <v>345</v>
      </c>
      <c r="H24" s="8">
        <f t="shared" si="4"/>
        <v>0</v>
      </c>
      <c r="I24" s="8">
        <f>VALUE(CONCATENATE("0",366.48))</f>
        <v>366.48</v>
      </c>
      <c r="J24" s="8">
        <f t="shared" si="1"/>
        <v>0</v>
      </c>
      <c r="K24" s="8">
        <f>VALUE(CONCATENATE("0",0))</f>
        <v>0</v>
      </c>
      <c r="L24" s="8">
        <f t="shared" si="0"/>
        <v>0</v>
      </c>
      <c r="M24" s="8">
        <f>VALUE(CONCATENATE("0","0.570000"))</f>
        <v>0.56999999999999995</v>
      </c>
      <c r="N24" s="8">
        <f>VALUE(CONCATENATE("0","22.050000"))</f>
        <v>22.05</v>
      </c>
      <c r="O24" s="7">
        <f>VALUE(CONCATENATE("0",345))+VALUE(CONCATENATE("0","22.050000"))-VALUE(CONCATENATE("0",0))-VALUE(CONCATENATE("0",0))-VALUE(CONCATENATE("0",366.48))-VALUE(CONCATENATE("0",0))-VALUE(CONCATENATE("0",0))-VALUE(CONCATENATE("0","0.570000"))</f>
        <v>-6.7723604502134549E-15</v>
      </c>
      <c r="P24" s="6">
        <v>0.99844707805476096</v>
      </c>
    </row>
    <row r="25" spans="1:16" ht="29.1" customHeight="1">
      <c r="A25" s="5" t="s">
        <v>865</v>
      </c>
      <c r="B25" s="10">
        <v>23</v>
      </c>
      <c r="C25" s="13" t="s">
        <v>29</v>
      </c>
      <c r="D25" s="9" t="s">
        <v>864</v>
      </c>
      <c r="E25" s="9" t="s">
        <v>108</v>
      </c>
      <c r="F25" s="9" t="s">
        <v>80</v>
      </c>
      <c r="G25" s="8">
        <f>VALUE(CONCATENATE("0",318.42))</f>
        <v>318.42</v>
      </c>
      <c r="H25" s="8">
        <f t="shared" si="4"/>
        <v>0</v>
      </c>
      <c r="I25" s="8">
        <f>VALUE(CONCATENATE("0",305.6))</f>
        <v>305.60000000000002</v>
      </c>
      <c r="J25" s="8">
        <f t="shared" si="1"/>
        <v>0</v>
      </c>
      <c r="K25" s="8">
        <f>VALUE(CONCATENATE("0",0))</f>
        <v>0</v>
      </c>
      <c r="L25" s="8">
        <f t="shared" si="0"/>
        <v>0</v>
      </c>
      <c r="M25" s="8">
        <f>VALUE(CONCATENATE("0","33.470000"))</f>
        <v>33.47</v>
      </c>
      <c r="N25" s="8">
        <f>VALUE(CONCATENATE("0","20.650000"))</f>
        <v>20.65</v>
      </c>
      <c r="O25" s="7">
        <f>VALUE(CONCATENATE("0",318.42))+VALUE(CONCATENATE("0","20.650000"))-VALUE(CONCATENATE("0",0))-VALUE(CONCATENATE("0",0))-VALUE(CONCATENATE("0",305.6))-VALUE(CONCATENATE("0",0))-VALUE(CONCATENATE("0",0))-VALUE(CONCATENATE("0","33.470000"))</f>
        <v>0</v>
      </c>
      <c r="P25" s="6">
        <v>0.90128881941781946</v>
      </c>
    </row>
    <row r="26" spans="1:16" ht="29.1" customHeight="1">
      <c r="A26" s="5" t="s">
        <v>863</v>
      </c>
      <c r="B26" s="10">
        <v>24</v>
      </c>
      <c r="C26" s="13" t="s">
        <v>43</v>
      </c>
      <c r="D26" s="9" t="s">
        <v>862</v>
      </c>
      <c r="E26" s="9" t="s">
        <v>69</v>
      </c>
      <c r="F26" s="9" t="s">
        <v>83</v>
      </c>
      <c r="G26" s="8">
        <f>VALUE(CONCATENATE("0",309.81))</f>
        <v>309.81</v>
      </c>
      <c r="H26" s="8">
        <f t="shared" si="4"/>
        <v>0</v>
      </c>
      <c r="I26" s="8">
        <f>VALUE(CONCATENATE("0",0))</f>
        <v>0</v>
      </c>
      <c r="J26" s="8">
        <f t="shared" si="1"/>
        <v>0</v>
      </c>
      <c r="K26" s="8">
        <f>VALUE(CONCATENATE("0",309.81))</f>
        <v>309.81</v>
      </c>
      <c r="L26" s="8">
        <f t="shared" si="0"/>
        <v>0</v>
      </c>
      <c r="M26" s="8">
        <f>VALUE(CONCATENATE("0","0.000000"))</f>
        <v>0</v>
      </c>
      <c r="N26" s="8">
        <f>VALUE(CONCATENATE("0","0.000000"))</f>
        <v>0</v>
      </c>
      <c r="O26" s="7">
        <f>VALUE(CONCATENATE("0",309.81))+VALUE(CONCATENATE("0","0.000000"))-VALUE(CONCATENATE("0",0))-VALUE(CONCATENATE("0",0))-VALUE(CONCATENATE("0",0))-VALUE(CONCATENATE("0",309.81))-VALUE(CONCATENATE("0",0))-VALUE(CONCATENATE("0","0.000000"))</f>
        <v>0</v>
      </c>
      <c r="P26" s="6">
        <v>1</v>
      </c>
    </row>
    <row r="27" spans="1:16" ht="24.95" customHeight="1">
      <c r="A27" s="5" t="s">
        <v>861</v>
      </c>
      <c r="B27" s="10">
        <v>25</v>
      </c>
      <c r="C27" s="13" t="s">
        <v>44</v>
      </c>
      <c r="D27" s="9" t="s">
        <v>860</v>
      </c>
      <c r="E27" s="9" t="s">
        <v>66</v>
      </c>
      <c r="F27" s="9" t="s">
        <v>147</v>
      </c>
      <c r="G27" s="8">
        <f>VALUE(CONCATENATE("0",273))</f>
        <v>273</v>
      </c>
      <c r="H27" s="8">
        <f t="shared" si="4"/>
        <v>0</v>
      </c>
      <c r="I27" s="8">
        <f>VALUE(CONCATENATE("0",215.8))</f>
        <v>215.8</v>
      </c>
      <c r="J27" s="8">
        <f t="shared" si="1"/>
        <v>0</v>
      </c>
      <c r="K27" s="8">
        <f>VALUE(CONCATENATE("0",0))</f>
        <v>0</v>
      </c>
      <c r="L27" s="8">
        <f t="shared" si="0"/>
        <v>0</v>
      </c>
      <c r="M27" s="8">
        <f>VALUE(CONCATENATE("0","57.200000"))</f>
        <v>57.2</v>
      </c>
      <c r="N27" s="8">
        <f>VALUE(CONCATENATE("0","0.000000"))</f>
        <v>0</v>
      </c>
      <c r="O27" s="7">
        <f>VALUE(CONCATENATE("0",273))+VALUE(CONCATENATE("0","0.000000"))-VALUE(CONCATENATE("0",0))-VALUE(CONCATENATE("0",0))-VALUE(CONCATENATE("0",215.8))-VALUE(CONCATENATE("0",0))-VALUE(CONCATENATE("0",0))-VALUE(CONCATENATE("0","57.200000"))</f>
        <v>0</v>
      </c>
      <c r="P27" s="6">
        <v>0.79047619047619055</v>
      </c>
    </row>
    <row r="28" spans="1:16" ht="24.95" customHeight="1">
      <c r="A28" s="5" t="s">
        <v>859</v>
      </c>
      <c r="B28" s="10">
        <v>26</v>
      </c>
      <c r="C28" s="13" t="s">
        <v>45</v>
      </c>
      <c r="D28" s="9" t="s">
        <v>197</v>
      </c>
      <c r="E28" s="9" t="s">
        <v>96</v>
      </c>
      <c r="F28" s="9" t="s">
        <v>83</v>
      </c>
      <c r="G28" s="8">
        <f>VALUE(CONCATENATE("0",195.83))</f>
        <v>195.83</v>
      </c>
      <c r="H28" s="8">
        <f t="shared" si="4"/>
        <v>0</v>
      </c>
      <c r="I28" s="8">
        <f>VALUE(CONCATENATE("0",177.73))</f>
        <v>177.73</v>
      </c>
      <c r="J28" s="8">
        <f t="shared" si="1"/>
        <v>0</v>
      </c>
      <c r="K28" s="8">
        <f>VALUE(CONCATENATE("0",18.1))</f>
        <v>18.100000000000001</v>
      </c>
      <c r="L28" s="8">
        <f t="shared" si="0"/>
        <v>0</v>
      </c>
      <c r="M28" s="8">
        <f>VALUE(CONCATENATE("0","0.000000"))</f>
        <v>0</v>
      </c>
      <c r="N28" s="8">
        <f>VALUE(CONCATENATE("0","0.000000"))</f>
        <v>0</v>
      </c>
      <c r="O28" s="7">
        <f>VALUE(CONCATENATE("0",195.83))+VALUE(CONCATENATE("0","0.000000"))-VALUE(CONCATENATE("0",0))-VALUE(CONCATENATE("0",0))-VALUE(CONCATENATE("0",177.73))-VALUE(CONCATENATE("0",18.1))-VALUE(CONCATENATE("0",0))-VALUE(CONCATENATE("0","0.000000"))</f>
        <v>2.1316282072803006E-14</v>
      </c>
      <c r="P28" s="6">
        <v>1</v>
      </c>
    </row>
    <row r="29" spans="1:16" ht="29.1" customHeight="1">
      <c r="A29" s="5" t="s">
        <v>858</v>
      </c>
      <c r="B29" s="10">
        <v>27</v>
      </c>
      <c r="C29" s="13" t="s">
        <v>46</v>
      </c>
      <c r="D29" s="9" t="s">
        <v>857</v>
      </c>
      <c r="E29" s="9" t="s">
        <v>68</v>
      </c>
      <c r="F29" s="9" t="s">
        <v>83</v>
      </c>
      <c r="G29" s="8">
        <f>VALUE(CONCATENATE("0",184.46))</f>
        <v>184.46</v>
      </c>
      <c r="H29" s="8">
        <f t="shared" si="4"/>
        <v>0</v>
      </c>
      <c r="I29" s="8">
        <f>VALUE(CONCATENATE("0",184.46))</f>
        <v>184.46</v>
      </c>
      <c r="J29" s="8">
        <f t="shared" si="1"/>
        <v>0</v>
      </c>
      <c r="K29" s="8">
        <f>VALUE(CONCATENATE("0",0))</f>
        <v>0</v>
      </c>
      <c r="L29" s="8">
        <f t="shared" si="0"/>
        <v>0</v>
      </c>
      <c r="M29" s="8">
        <f>VALUE(CONCATENATE("0","0.000000"))</f>
        <v>0</v>
      </c>
      <c r="N29" s="8">
        <f>VALUE(CONCATENATE("0","0.000000"))</f>
        <v>0</v>
      </c>
      <c r="O29" s="7">
        <f>VALUE(CONCATENATE("0",184.46))+VALUE(CONCATENATE("0","0.000000"))-VALUE(CONCATENATE("0",0))-VALUE(CONCATENATE("0",0))-VALUE(CONCATENATE("0",184.46))-VALUE(CONCATENATE("0",0))-VALUE(CONCATENATE("0",0))-VALUE(CONCATENATE("0","0.000000"))</f>
        <v>0</v>
      </c>
      <c r="P29" s="6">
        <v>1</v>
      </c>
    </row>
    <row r="30" spans="1:16" ht="29.1" customHeight="1">
      <c r="A30" s="5" t="s">
        <v>856</v>
      </c>
      <c r="B30" s="10">
        <v>28</v>
      </c>
      <c r="C30" s="13" t="s">
        <v>47</v>
      </c>
      <c r="D30" s="9" t="s">
        <v>203</v>
      </c>
      <c r="E30" s="9" t="s">
        <v>65</v>
      </c>
      <c r="F30" s="9" t="s">
        <v>147</v>
      </c>
      <c r="G30" s="8">
        <f>VALUE(CONCATENATE("0",177.14))</f>
        <v>177.14</v>
      </c>
      <c r="H30" s="8">
        <f t="shared" si="4"/>
        <v>0</v>
      </c>
      <c r="I30" s="8">
        <f>VALUE(CONCATENATE("0",185.8))</f>
        <v>185.8</v>
      </c>
      <c r="J30" s="8">
        <f t="shared" si="1"/>
        <v>0</v>
      </c>
      <c r="K30" s="8">
        <f>VALUE(CONCATENATE("0",0))</f>
        <v>0</v>
      </c>
      <c r="L30" s="8">
        <f t="shared" si="0"/>
        <v>0</v>
      </c>
      <c r="M30" s="8">
        <f>VALUE(CONCATENATE("0","8.040000"))</f>
        <v>8.0399999999999991</v>
      </c>
      <c r="N30" s="8">
        <f>VALUE(CONCATENATE("0","16.700000"))</f>
        <v>16.7</v>
      </c>
      <c r="O30" s="7">
        <f>VALUE(CONCATENATE("0",177.14))+VALUE(CONCATENATE("0","16.700000"))-VALUE(CONCATENATE("0",0))-VALUE(CONCATENATE("0",0))-VALUE(CONCATENATE("0",185.8))-VALUE(CONCATENATE("0",0))-VALUE(CONCATENATE("0",0))-VALUE(CONCATENATE("0","8.040000"))</f>
        <v>-3.5527136788005009E-14</v>
      </c>
      <c r="P30" s="6">
        <v>0.95852249277754853</v>
      </c>
    </row>
    <row r="31" spans="1:16" ht="29.1" customHeight="1">
      <c r="A31" s="5" t="s">
        <v>855</v>
      </c>
      <c r="B31" s="10">
        <v>29</v>
      </c>
      <c r="C31" s="13" t="s">
        <v>48</v>
      </c>
      <c r="D31" s="9" t="s">
        <v>854</v>
      </c>
      <c r="E31" s="9" t="s">
        <v>66</v>
      </c>
      <c r="F31" s="9" t="s">
        <v>83</v>
      </c>
      <c r="G31" s="8">
        <f>VALUE(CONCATENATE("0",169.5))</f>
        <v>169.5</v>
      </c>
      <c r="H31" s="8">
        <f t="shared" si="4"/>
        <v>0</v>
      </c>
      <c r="I31" s="8">
        <f>VALUE(CONCATENATE("0",169.5))</f>
        <v>169.5</v>
      </c>
      <c r="J31" s="8">
        <f t="shared" si="1"/>
        <v>0</v>
      </c>
      <c r="K31" s="8">
        <f>VALUE(CONCATENATE("0",0))</f>
        <v>0</v>
      </c>
      <c r="L31" s="8">
        <f t="shared" si="0"/>
        <v>0</v>
      </c>
      <c r="M31" s="8">
        <f>VALUE(CONCATENATE("0","0.000000"))</f>
        <v>0</v>
      </c>
      <c r="N31" s="8">
        <f>VALUE(CONCATENATE("0","0.000000"))</f>
        <v>0</v>
      </c>
      <c r="O31" s="7">
        <f>VALUE(CONCATENATE("0",169.5))+VALUE(CONCATENATE("0","0.000000"))-VALUE(CONCATENATE("0",0))-VALUE(CONCATENATE("0",0))-VALUE(CONCATENATE("0",169.5))-VALUE(CONCATENATE("0",0))-VALUE(CONCATENATE("0",0))-VALUE(CONCATENATE("0","0.000000"))</f>
        <v>0</v>
      </c>
      <c r="P31" s="6">
        <v>1</v>
      </c>
    </row>
    <row r="32" spans="1:16" ht="29.1" customHeight="1">
      <c r="A32" s="5" t="s">
        <v>853</v>
      </c>
      <c r="B32" s="10">
        <v>30</v>
      </c>
      <c r="C32" s="13" t="s">
        <v>49</v>
      </c>
      <c r="D32" s="9" t="s">
        <v>852</v>
      </c>
      <c r="E32" s="9" t="s">
        <v>66</v>
      </c>
      <c r="F32" s="9" t="s">
        <v>83</v>
      </c>
      <c r="G32" s="8">
        <f>VALUE(CONCATENATE("0",158.8))</f>
        <v>158.80000000000001</v>
      </c>
      <c r="H32" s="8">
        <f t="shared" si="4"/>
        <v>0</v>
      </c>
      <c r="I32" s="8">
        <f>VALUE(CONCATENATE("0",158.8))</f>
        <v>158.80000000000001</v>
      </c>
      <c r="J32" s="8">
        <f t="shared" si="1"/>
        <v>0</v>
      </c>
      <c r="K32" s="8">
        <f>VALUE(CONCATENATE("0",0))</f>
        <v>0</v>
      </c>
      <c r="L32" s="8">
        <f t="shared" si="0"/>
        <v>0</v>
      </c>
      <c r="M32" s="8">
        <f>VALUE(CONCATENATE("0","0.000000"))</f>
        <v>0</v>
      </c>
      <c r="N32" s="8">
        <f>VALUE(CONCATENATE("0","0.000000"))</f>
        <v>0</v>
      </c>
      <c r="O32" s="7">
        <f>VALUE(CONCATENATE("0",158.8))+VALUE(CONCATENATE("0","0.000000"))-VALUE(CONCATENATE("0",0))-VALUE(CONCATENATE("0",0))-VALUE(CONCATENATE("0",158.8))-VALUE(CONCATENATE("0",0))-VALUE(CONCATENATE("0",0))-VALUE(CONCATENATE("0","0.000000"))</f>
        <v>0</v>
      </c>
      <c r="P32" s="6">
        <v>1</v>
      </c>
    </row>
    <row r="33" spans="1:16" ht="29.1" customHeight="1">
      <c r="A33" s="5" t="s">
        <v>851</v>
      </c>
      <c r="B33" s="10">
        <v>31</v>
      </c>
      <c r="C33" s="13" t="s">
        <v>50</v>
      </c>
      <c r="D33" s="9" t="s">
        <v>850</v>
      </c>
      <c r="E33" s="9" t="s">
        <v>96</v>
      </c>
      <c r="F33" s="9" t="s">
        <v>83</v>
      </c>
      <c r="G33" s="8">
        <f>VALUE(CONCATENATE("0",156))</f>
        <v>156</v>
      </c>
      <c r="H33" s="8">
        <f t="shared" si="4"/>
        <v>0</v>
      </c>
      <c r="I33" s="8">
        <f>VALUE(CONCATENATE("0",0))</f>
        <v>0</v>
      </c>
      <c r="J33" s="8">
        <f t="shared" si="1"/>
        <v>0</v>
      </c>
      <c r="K33" s="8">
        <f>VALUE(CONCATENATE("0",178))</f>
        <v>178</v>
      </c>
      <c r="L33" s="8">
        <f t="shared" si="0"/>
        <v>0</v>
      </c>
      <c r="M33" s="8">
        <f>VALUE(CONCATENATE("0","0.400000"))</f>
        <v>0.4</v>
      </c>
      <c r="N33" s="8">
        <f>VALUE(CONCATENATE("0","22.400000"))</f>
        <v>22.4</v>
      </c>
      <c r="O33" s="7">
        <f>VALUE(CONCATENATE("0",156))+VALUE(CONCATENATE("0","22.400000"))-VALUE(CONCATENATE("0",0))-VALUE(CONCATENATE("0",0))-VALUE(CONCATENATE("0",0))-VALUE(CONCATENATE("0",178))-VALUE(CONCATENATE("0",0))-VALUE(CONCATENATE("0","0.400000"))</f>
        <v>5.6621374255882984E-15</v>
      </c>
      <c r="P33" s="6">
        <v>0.99775784753363228</v>
      </c>
    </row>
    <row r="34" spans="1:16" ht="29.1" customHeight="1">
      <c r="A34" s="5" t="s">
        <v>849</v>
      </c>
      <c r="B34" s="10">
        <v>32</v>
      </c>
      <c r="C34" s="13" t="s">
        <v>7</v>
      </c>
      <c r="D34" s="9" t="s">
        <v>848</v>
      </c>
      <c r="E34" s="9" t="s">
        <v>96</v>
      </c>
      <c r="F34" s="9" t="s">
        <v>83</v>
      </c>
      <c r="G34" s="8">
        <f>VALUE(CONCATENATE("0",155.12))</f>
        <v>155.12</v>
      </c>
      <c r="H34" s="8">
        <f t="shared" si="4"/>
        <v>0</v>
      </c>
      <c r="I34" s="8">
        <f>VALUE(CONCATENATE("0",0))</f>
        <v>0</v>
      </c>
      <c r="J34" s="8">
        <f t="shared" si="1"/>
        <v>0</v>
      </c>
      <c r="K34" s="8">
        <f>VALUE(CONCATENATE("0",152.7))</f>
        <v>152.69999999999999</v>
      </c>
      <c r="L34" s="8">
        <f t="shared" si="0"/>
        <v>0</v>
      </c>
      <c r="M34" s="8">
        <f>VALUE(CONCATENATE("0","2.420000"))</f>
        <v>2.42</v>
      </c>
      <c r="N34" s="8">
        <f>VALUE(CONCATENATE("0","0.000000"))</f>
        <v>0</v>
      </c>
      <c r="O34" s="7">
        <f>VALUE(CONCATENATE("0",155.12))+VALUE(CONCATENATE("0","0.000000"))-VALUE(CONCATENATE("0",0))-VALUE(CONCATENATE("0",0))-VALUE(CONCATENATE("0",0))-VALUE(CONCATENATE("0",152.7))-VALUE(CONCATENATE("0",0))-VALUE(CONCATENATE("0","2.420000"))</f>
        <v>1.5987211554602254E-14</v>
      </c>
      <c r="P34" s="6">
        <v>0.9843991748323877</v>
      </c>
    </row>
    <row r="35" spans="1:16" ht="24.95" customHeight="1">
      <c r="A35" s="5" t="s">
        <v>847</v>
      </c>
      <c r="B35" s="10">
        <v>33</v>
      </c>
      <c r="C35" s="13" t="s">
        <v>51</v>
      </c>
      <c r="D35" s="9" t="s">
        <v>846</v>
      </c>
      <c r="E35" s="9" t="s">
        <v>66</v>
      </c>
      <c r="F35" s="9" t="s">
        <v>83</v>
      </c>
      <c r="G35" s="8">
        <f>VALUE(CONCATENATE("0",150.98))</f>
        <v>150.97999999999999</v>
      </c>
      <c r="H35" s="8">
        <f t="shared" si="4"/>
        <v>0</v>
      </c>
      <c r="I35" s="8">
        <f>VALUE(CONCATENATE("0",26.42))</f>
        <v>26.42</v>
      </c>
      <c r="J35" s="8">
        <f t="shared" si="1"/>
        <v>0</v>
      </c>
      <c r="K35" s="8">
        <f>VALUE(CONCATENATE("0",124.56))</f>
        <v>124.56</v>
      </c>
      <c r="L35" s="8">
        <f t="shared" ref="L35:L66" si="5">VALUE(CONCATENATE("0",0))</f>
        <v>0</v>
      </c>
      <c r="M35" s="8">
        <f>VALUE(CONCATENATE("0","0.000000"))</f>
        <v>0</v>
      </c>
      <c r="N35" s="8">
        <f>VALUE(CONCATENATE("0","0.000000"))</f>
        <v>0</v>
      </c>
      <c r="O35" s="7">
        <f>VALUE(CONCATENATE("0",150.98))+VALUE(CONCATENATE("0","0.000000"))-VALUE(CONCATENATE("0",0))-VALUE(CONCATENATE("0",0))-VALUE(CONCATENATE("0",26.42))-VALUE(CONCATENATE("0",124.56))-VALUE(CONCATENATE("0",0))-VALUE(CONCATENATE("0","0.000000"))</f>
        <v>-1.4210854715202004E-14</v>
      </c>
      <c r="P35" s="6">
        <v>1</v>
      </c>
    </row>
    <row r="36" spans="1:16" ht="29.1" customHeight="1">
      <c r="A36" s="5" t="s">
        <v>845</v>
      </c>
      <c r="B36" s="10">
        <v>34</v>
      </c>
      <c r="C36" s="13" t="s">
        <v>52</v>
      </c>
      <c r="D36" s="9" t="s">
        <v>844</v>
      </c>
      <c r="E36" s="9" t="s">
        <v>65</v>
      </c>
      <c r="F36" s="9" t="s">
        <v>307</v>
      </c>
      <c r="G36" s="8">
        <f>VALUE(CONCATENATE("0",141.4))</f>
        <v>141.4</v>
      </c>
      <c r="H36" s="8">
        <f t="shared" si="4"/>
        <v>0</v>
      </c>
      <c r="I36" s="8">
        <f>VALUE(CONCATENATE("0",141.4))</f>
        <v>141.4</v>
      </c>
      <c r="J36" s="8">
        <f t="shared" si="1"/>
        <v>0</v>
      </c>
      <c r="K36" s="8">
        <f>VALUE(CONCATENATE("0",0))</f>
        <v>0</v>
      </c>
      <c r="L36" s="8">
        <f t="shared" si="5"/>
        <v>0</v>
      </c>
      <c r="M36" s="8">
        <f>VALUE(CONCATENATE("0","0.000000"))</f>
        <v>0</v>
      </c>
      <c r="N36" s="8">
        <f>VALUE(CONCATENATE("0","0.000000"))</f>
        <v>0</v>
      </c>
      <c r="O36" s="7">
        <f>VALUE(CONCATENATE("0",141.4))+VALUE(CONCATENATE("0","0.000000"))-VALUE(CONCATENATE("0",0))-VALUE(CONCATENATE("0",0))-VALUE(CONCATENATE("0",141.4))-VALUE(CONCATENATE("0",0))-VALUE(CONCATENATE("0",0))-VALUE(CONCATENATE("0","0.000000"))</f>
        <v>0</v>
      </c>
      <c r="P36" s="6">
        <v>1</v>
      </c>
    </row>
    <row r="37" spans="1:16" ht="29.1" customHeight="1">
      <c r="A37" s="5" t="s">
        <v>843</v>
      </c>
      <c r="B37" s="10">
        <v>35</v>
      </c>
      <c r="C37" s="13" t="s">
        <v>53</v>
      </c>
      <c r="D37" s="9" t="s">
        <v>842</v>
      </c>
      <c r="E37" s="9" t="s">
        <v>65</v>
      </c>
      <c r="F37" s="9" t="s">
        <v>382</v>
      </c>
      <c r="G37" s="8">
        <f>VALUE(CONCATENATE("0",138))</f>
        <v>138</v>
      </c>
      <c r="H37" s="8">
        <f t="shared" si="4"/>
        <v>0</v>
      </c>
      <c r="I37" s="8">
        <f>VALUE(CONCATENATE("0",138))</f>
        <v>138</v>
      </c>
      <c r="J37" s="8">
        <f t="shared" si="1"/>
        <v>0</v>
      </c>
      <c r="K37" s="8">
        <f>VALUE(CONCATENATE("0",0))</f>
        <v>0</v>
      </c>
      <c r="L37" s="8">
        <f t="shared" si="5"/>
        <v>0</v>
      </c>
      <c r="M37" s="8">
        <f>VALUE(CONCATENATE("0","0.000000"))</f>
        <v>0</v>
      </c>
      <c r="N37" s="8">
        <f>VALUE(CONCATENATE("0","0.000000"))</f>
        <v>0</v>
      </c>
      <c r="O37" s="7">
        <f>VALUE(CONCATENATE("0",138))+VALUE(CONCATENATE("0","0.000000"))-VALUE(CONCATENATE("0",0))-VALUE(CONCATENATE("0",0))-VALUE(CONCATENATE("0",138))-VALUE(CONCATENATE("0",0))-VALUE(CONCATENATE("0",0))-VALUE(CONCATENATE("0","0.000000"))</f>
        <v>0</v>
      </c>
      <c r="P37" s="6">
        <v>1</v>
      </c>
    </row>
    <row r="38" spans="1:16" ht="24.95" customHeight="1">
      <c r="A38" s="5" t="s">
        <v>841</v>
      </c>
      <c r="B38" s="10">
        <v>36</v>
      </c>
      <c r="C38" s="13" t="s">
        <v>6</v>
      </c>
      <c r="D38" s="9" t="s">
        <v>840</v>
      </c>
      <c r="E38" s="9" t="s">
        <v>67</v>
      </c>
      <c r="F38" s="9" t="s">
        <v>83</v>
      </c>
      <c r="G38" s="8">
        <f>VALUE(CONCATENATE("0",132.43))</f>
        <v>132.43</v>
      </c>
      <c r="H38" s="8">
        <f t="shared" si="4"/>
        <v>0</v>
      </c>
      <c r="I38" s="8">
        <f>VALUE(CONCATENATE("0",0))</f>
        <v>0</v>
      </c>
      <c r="J38" s="8">
        <f t="shared" si="1"/>
        <v>0</v>
      </c>
      <c r="K38" s="8">
        <f>VALUE(CONCATENATE("0",133.62))</f>
        <v>133.62</v>
      </c>
      <c r="L38" s="8">
        <f t="shared" si="5"/>
        <v>0</v>
      </c>
      <c r="M38" s="8">
        <f>VALUE(CONCATENATE("0","0.000000"))</f>
        <v>0</v>
      </c>
      <c r="N38" s="8">
        <f>VALUE(CONCATENATE("0","1.190000"))</f>
        <v>1.19</v>
      </c>
      <c r="O38" s="7">
        <f>VALUE(CONCATENATE("0",132.43))+VALUE(CONCATENATE("0","1.190000"))-VALUE(CONCATENATE("0",0))-VALUE(CONCATENATE("0",0))-VALUE(CONCATENATE("0",0))-VALUE(CONCATENATE("0",133.62))-VALUE(CONCATENATE("0",0))-VALUE(CONCATENATE("0","0.000000"))</f>
        <v>0</v>
      </c>
      <c r="P38" s="6">
        <v>1</v>
      </c>
    </row>
    <row r="39" spans="1:16" ht="24.95" customHeight="1">
      <c r="A39" s="5" t="s">
        <v>839</v>
      </c>
      <c r="B39" s="10">
        <v>37</v>
      </c>
      <c r="C39" s="13" t="s">
        <v>54</v>
      </c>
      <c r="D39" s="9" t="s">
        <v>838</v>
      </c>
      <c r="E39" s="9" t="s">
        <v>96</v>
      </c>
      <c r="F39" s="9" t="s">
        <v>83</v>
      </c>
      <c r="G39" s="8">
        <f>VALUE(CONCATENATE("0",123.48))</f>
        <v>123.48</v>
      </c>
      <c r="H39" s="8">
        <f t="shared" si="4"/>
        <v>0</v>
      </c>
      <c r="I39" s="8">
        <f>VALUE(CONCATENATE("0",115.66))</f>
        <v>115.66</v>
      </c>
      <c r="J39" s="8">
        <f t="shared" si="1"/>
        <v>0</v>
      </c>
      <c r="K39" s="8">
        <f>VALUE(CONCATENATE("0",4.82))</f>
        <v>4.82</v>
      </c>
      <c r="L39" s="8">
        <f t="shared" si="5"/>
        <v>0</v>
      </c>
      <c r="M39" s="8">
        <f>VALUE(CONCATENATE("0","7.820000"))</f>
        <v>7.82</v>
      </c>
      <c r="N39" s="8">
        <f>VALUE(CONCATENATE("0","4.820000"))</f>
        <v>4.82</v>
      </c>
      <c r="O39" s="7">
        <f>VALUE(CONCATENATE("0",123.48))+VALUE(CONCATENATE("0","4.820000"))-VALUE(CONCATENATE("0",0))-VALUE(CONCATENATE("0",0))-VALUE(CONCATENATE("0",115.66))-VALUE(CONCATENATE("0",4.82))-VALUE(CONCATENATE("0",0))-VALUE(CONCATENATE("0","7.820000"))</f>
        <v>1.4210854715202004E-14</v>
      </c>
      <c r="P39" s="6">
        <v>0.93904910366328909</v>
      </c>
    </row>
    <row r="40" spans="1:16" ht="24.95" customHeight="1">
      <c r="A40" s="5" t="s">
        <v>837</v>
      </c>
      <c r="B40" s="10">
        <v>38</v>
      </c>
      <c r="C40" s="13" t="s">
        <v>55</v>
      </c>
      <c r="D40" s="9" t="s">
        <v>836</v>
      </c>
      <c r="E40" s="9" t="s">
        <v>67</v>
      </c>
      <c r="F40" s="9" t="s">
        <v>89</v>
      </c>
      <c r="G40" s="8">
        <f>VALUE(CONCATENATE("0",115.34))</f>
        <v>115.34</v>
      </c>
      <c r="H40" s="8">
        <f t="shared" si="4"/>
        <v>0</v>
      </c>
      <c r="I40" s="8">
        <f>VALUE(CONCATENATE("0",0))</f>
        <v>0</v>
      </c>
      <c r="J40" s="8">
        <f t="shared" ref="J40:J71" si="6">VALUE(CONCATENATE("0",0))</f>
        <v>0</v>
      </c>
      <c r="K40" s="8">
        <f>VALUE(CONCATENATE("0",115.34))</f>
        <v>115.34</v>
      </c>
      <c r="L40" s="8">
        <f t="shared" si="5"/>
        <v>0</v>
      </c>
      <c r="M40" s="8">
        <f>VALUE(CONCATENATE("0","0.000000"))</f>
        <v>0</v>
      </c>
      <c r="N40" s="8">
        <f>VALUE(CONCATENATE("0","0.000000"))</f>
        <v>0</v>
      </c>
      <c r="O40" s="7">
        <f>VALUE(CONCATENATE("0",115.34))+VALUE(CONCATENATE("0","0.000000"))-VALUE(CONCATENATE("0",0))-VALUE(CONCATENATE("0",0))-VALUE(CONCATENATE("0",0))-VALUE(CONCATENATE("0",115.34))-VALUE(CONCATENATE("0",0))-VALUE(CONCATENATE("0","0.000000"))</f>
        <v>0</v>
      </c>
      <c r="P40" s="6">
        <v>1</v>
      </c>
    </row>
    <row r="41" spans="1:16" ht="24.95" customHeight="1">
      <c r="A41" s="5" t="s">
        <v>835</v>
      </c>
      <c r="B41" s="10">
        <v>39</v>
      </c>
      <c r="C41" s="13" t="s">
        <v>8</v>
      </c>
      <c r="D41" s="9" t="s">
        <v>834</v>
      </c>
      <c r="E41" s="9" t="s">
        <v>96</v>
      </c>
      <c r="F41" s="9" t="s">
        <v>83</v>
      </c>
      <c r="G41" s="8">
        <f>VALUE(CONCATENATE("0",108.16))</f>
        <v>108.16</v>
      </c>
      <c r="H41" s="8">
        <f t="shared" si="4"/>
        <v>0</v>
      </c>
      <c r="I41" s="8">
        <f>VALUE(CONCATENATE("0",0))</f>
        <v>0</v>
      </c>
      <c r="J41" s="8">
        <f t="shared" si="6"/>
        <v>0</v>
      </c>
      <c r="K41" s="8">
        <f>VALUE(CONCATENATE("0",108.16))</f>
        <v>108.16</v>
      </c>
      <c r="L41" s="8">
        <f t="shared" si="5"/>
        <v>0</v>
      </c>
      <c r="M41" s="8">
        <f>VALUE(CONCATENATE("0","0.000000"))</f>
        <v>0</v>
      </c>
      <c r="N41" s="8">
        <f>VALUE(CONCATENATE("0","0.000000"))</f>
        <v>0</v>
      </c>
      <c r="O41" s="7">
        <f>VALUE(CONCATENATE("0",108.16))+VALUE(CONCATENATE("0","0.000000"))-VALUE(CONCATENATE("0",0))-VALUE(CONCATENATE("0",0))-VALUE(CONCATENATE("0",0))-VALUE(CONCATENATE("0",108.16))-VALUE(CONCATENATE("0",0))-VALUE(CONCATENATE("0","0.000000"))</f>
        <v>0</v>
      </c>
      <c r="P41" s="6">
        <v>1</v>
      </c>
    </row>
    <row r="42" spans="1:16" ht="29.1" customHeight="1">
      <c r="A42" s="5" t="s">
        <v>833</v>
      </c>
      <c r="B42" s="10">
        <v>40</v>
      </c>
      <c r="C42" s="13" t="s">
        <v>56</v>
      </c>
      <c r="D42" s="9" t="s">
        <v>832</v>
      </c>
      <c r="E42" s="9" t="s">
        <v>65</v>
      </c>
      <c r="F42" s="9" t="s">
        <v>147</v>
      </c>
      <c r="G42" s="8">
        <f>VALUE(CONCATENATE("0",100.65))</f>
        <v>100.65</v>
      </c>
      <c r="H42" s="8">
        <f t="shared" si="4"/>
        <v>0</v>
      </c>
      <c r="I42" s="8">
        <f>VALUE(CONCATENATE("0",106.76))</f>
        <v>106.76</v>
      </c>
      <c r="J42" s="8">
        <f t="shared" si="6"/>
        <v>0</v>
      </c>
      <c r="K42" s="8">
        <f>VALUE(CONCATENATE("0",0))</f>
        <v>0</v>
      </c>
      <c r="L42" s="8">
        <f t="shared" si="5"/>
        <v>0</v>
      </c>
      <c r="M42" s="8">
        <f>VALUE(CONCATENATE("0","5.970000"))</f>
        <v>5.97</v>
      </c>
      <c r="N42" s="8">
        <f>VALUE(CONCATENATE("0","12.080000"))</f>
        <v>12.08</v>
      </c>
      <c r="O42" s="7">
        <f>VALUE(CONCATENATE("0",100.65))+VALUE(CONCATENATE("0","12.080000"))-VALUE(CONCATENATE("0",0))-VALUE(CONCATENATE("0",0))-VALUE(CONCATENATE("0",106.76))-VALUE(CONCATENATE("0",0))-VALUE(CONCATENATE("0",0))-VALUE(CONCATENATE("0","5.970000"))</f>
        <v>0</v>
      </c>
      <c r="P42" s="6">
        <v>0.9470416038321654</v>
      </c>
    </row>
    <row r="43" spans="1:16" ht="29.1" customHeight="1">
      <c r="A43" s="5" t="s">
        <v>831</v>
      </c>
      <c r="B43" s="10">
        <v>41</v>
      </c>
      <c r="C43" s="13" t="s">
        <v>59</v>
      </c>
      <c r="D43" s="9" t="s">
        <v>830</v>
      </c>
      <c r="E43" s="9" t="s">
        <v>96</v>
      </c>
      <c r="F43" s="9" t="s">
        <v>83</v>
      </c>
      <c r="G43" s="8">
        <f>VALUE(CONCATENATE("0",99.88))</f>
        <v>99.88</v>
      </c>
      <c r="H43" s="8">
        <f t="shared" si="4"/>
        <v>0</v>
      </c>
      <c r="I43" s="8">
        <f>VALUE(CONCATENATE("0",0))</f>
        <v>0</v>
      </c>
      <c r="J43" s="8">
        <f t="shared" si="6"/>
        <v>0</v>
      </c>
      <c r="K43" s="8">
        <f>VALUE(CONCATENATE("0",99.88))</f>
        <v>99.88</v>
      </c>
      <c r="L43" s="8">
        <f t="shared" si="5"/>
        <v>0</v>
      </c>
      <c r="M43" s="8">
        <f>VALUE(CONCATENATE("0","0.000000"))</f>
        <v>0</v>
      </c>
      <c r="N43" s="8">
        <f>VALUE(CONCATENATE("0","0.000000"))</f>
        <v>0</v>
      </c>
      <c r="O43" s="7">
        <f>VALUE(CONCATENATE("0",99.88))+VALUE(CONCATENATE("0","0.000000"))-VALUE(CONCATENATE("0",0))-VALUE(CONCATENATE("0",0))-VALUE(CONCATENATE("0",0))-VALUE(CONCATENATE("0",99.88))-VALUE(CONCATENATE("0",0))-VALUE(CONCATENATE("0","0.000000"))</f>
        <v>0</v>
      </c>
      <c r="P43" s="6">
        <v>1</v>
      </c>
    </row>
    <row r="44" spans="1:16" ht="29.1" customHeight="1">
      <c r="A44" s="5" t="s">
        <v>829</v>
      </c>
      <c r="B44" s="10">
        <v>42</v>
      </c>
      <c r="C44" s="13" t="s">
        <v>828</v>
      </c>
      <c r="D44" s="9" t="s">
        <v>827</v>
      </c>
      <c r="E44" s="9" t="s">
        <v>66</v>
      </c>
      <c r="F44" s="9" t="s">
        <v>83</v>
      </c>
      <c r="G44" s="8">
        <f>VALUE(CONCATENATE("0",93.48))</f>
        <v>93.48</v>
      </c>
      <c r="H44" s="8">
        <f t="shared" si="4"/>
        <v>0</v>
      </c>
      <c r="I44" s="8">
        <f>VALUE(CONCATENATE("0",0))</f>
        <v>0</v>
      </c>
      <c r="J44" s="8">
        <f t="shared" si="6"/>
        <v>0</v>
      </c>
      <c r="K44" s="8">
        <f>VALUE(CONCATENATE("0",93.48))</f>
        <v>93.48</v>
      </c>
      <c r="L44" s="8">
        <f t="shared" si="5"/>
        <v>0</v>
      </c>
      <c r="M44" s="8">
        <f>VALUE(CONCATENATE("0","0.000000"))</f>
        <v>0</v>
      </c>
      <c r="N44" s="8">
        <f>VALUE(CONCATENATE("0","0.000000"))</f>
        <v>0</v>
      </c>
      <c r="O44" s="7">
        <f>VALUE(CONCATENATE("0",93.48))+VALUE(CONCATENATE("0","0.000000"))-VALUE(CONCATENATE("0",0))-VALUE(CONCATENATE("0",0))-VALUE(CONCATENATE("0",0))-VALUE(CONCATENATE("0",93.48))-VALUE(CONCATENATE("0",0))-VALUE(CONCATENATE("0","0.000000"))</f>
        <v>0</v>
      </c>
      <c r="P44" s="6">
        <v>1</v>
      </c>
    </row>
    <row r="45" spans="1:16" ht="24.95" customHeight="1">
      <c r="A45" s="5" t="s">
        <v>826</v>
      </c>
      <c r="B45" s="10">
        <v>43</v>
      </c>
      <c r="C45" s="13" t="s">
        <v>825</v>
      </c>
      <c r="D45" s="9" t="s">
        <v>824</v>
      </c>
      <c r="E45" s="9" t="s">
        <v>66</v>
      </c>
      <c r="F45" s="9" t="s">
        <v>83</v>
      </c>
      <c r="G45" s="8">
        <f>VALUE(CONCATENATE("0",90))</f>
        <v>90</v>
      </c>
      <c r="H45" s="8">
        <f t="shared" si="4"/>
        <v>0</v>
      </c>
      <c r="I45" s="8">
        <f>VALUE(CONCATENATE("0",80.49))</f>
        <v>80.489999999999995</v>
      </c>
      <c r="J45" s="8">
        <f t="shared" si="6"/>
        <v>0</v>
      </c>
      <c r="K45" s="8">
        <f>VALUE(CONCATENATE("0",0))</f>
        <v>0</v>
      </c>
      <c r="L45" s="8">
        <f t="shared" si="5"/>
        <v>0</v>
      </c>
      <c r="M45" s="8">
        <f>VALUE(CONCATENATE("0","9.510000"))</f>
        <v>9.51</v>
      </c>
      <c r="N45" s="8">
        <f>VALUE(CONCATENATE("0","0.000000"))</f>
        <v>0</v>
      </c>
      <c r="O45" s="7">
        <f>VALUE(CONCATENATE("0",90))+VALUE(CONCATENATE("0","0.000000"))-VALUE(CONCATENATE("0",0))-VALUE(CONCATENATE("0",0))-VALUE(CONCATENATE("0",80.49))-VALUE(CONCATENATE("0",0))-VALUE(CONCATENATE("0",0))-VALUE(CONCATENATE("0","9.510000"))</f>
        <v>0</v>
      </c>
      <c r="P45" s="6">
        <v>0.89433333333333331</v>
      </c>
    </row>
    <row r="46" spans="1:16" ht="29.1" customHeight="1">
      <c r="A46" s="5" t="s">
        <v>823</v>
      </c>
      <c r="B46" s="10">
        <v>44</v>
      </c>
      <c r="C46" s="13" t="s">
        <v>822</v>
      </c>
      <c r="D46" s="9" t="s">
        <v>821</v>
      </c>
      <c r="E46" s="9" t="s">
        <v>65</v>
      </c>
      <c r="F46" s="9" t="s">
        <v>140</v>
      </c>
      <c r="G46" s="8">
        <f>VALUE(CONCATENATE("0",80))</f>
        <v>80</v>
      </c>
      <c r="H46" s="8">
        <f t="shared" si="4"/>
        <v>0</v>
      </c>
      <c r="I46" s="8">
        <f>VALUE(CONCATENATE("0",80))</f>
        <v>80</v>
      </c>
      <c r="J46" s="8">
        <f t="shared" si="6"/>
        <v>0</v>
      </c>
      <c r="K46" s="8">
        <f>VALUE(CONCATENATE("0",0))</f>
        <v>0</v>
      </c>
      <c r="L46" s="8">
        <f t="shared" si="5"/>
        <v>0</v>
      </c>
      <c r="M46" s="8">
        <f>VALUE(CONCATENATE("0","0.000000"))</f>
        <v>0</v>
      </c>
      <c r="N46" s="8">
        <f>VALUE(CONCATENATE("0","0.000000"))</f>
        <v>0</v>
      </c>
      <c r="O46" s="7">
        <f>VALUE(CONCATENATE("0",80))+VALUE(CONCATENATE("0","0.000000"))-VALUE(CONCATENATE("0",0))-VALUE(CONCATENATE("0",0))-VALUE(CONCATENATE("0",80))-VALUE(CONCATENATE("0",0))-VALUE(CONCATENATE("0",0))-VALUE(CONCATENATE("0","0.000000"))</f>
        <v>0</v>
      </c>
      <c r="P46" s="6">
        <v>1</v>
      </c>
    </row>
    <row r="47" spans="1:16" ht="24.95" customHeight="1">
      <c r="A47" s="5" t="s">
        <v>820</v>
      </c>
      <c r="B47" s="10">
        <v>45</v>
      </c>
      <c r="C47" s="13" t="s">
        <v>10</v>
      </c>
      <c r="D47" s="9" t="s">
        <v>819</v>
      </c>
      <c r="E47" s="9" t="s">
        <v>67</v>
      </c>
      <c r="F47" s="9" t="s">
        <v>83</v>
      </c>
      <c r="G47" s="8">
        <f>VALUE(CONCATENATE("0",79.881))</f>
        <v>79.881</v>
      </c>
      <c r="H47" s="8">
        <f t="shared" si="4"/>
        <v>0</v>
      </c>
      <c r="I47" s="8">
        <f>VALUE(CONCATENATE("0",0))</f>
        <v>0</v>
      </c>
      <c r="J47" s="8">
        <f t="shared" si="6"/>
        <v>0</v>
      </c>
      <c r="K47" s="8">
        <f>VALUE(CONCATENATE("0",77.02))</f>
        <v>77.02</v>
      </c>
      <c r="L47" s="8">
        <f t="shared" si="5"/>
        <v>0</v>
      </c>
      <c r="M47" s="8">
        <f>VALUE(CONCATENATE("0","5.348000"))</f>
        <v>5.3479999999999999</v>
      </c>
      <c r="N47" s="8">
        <f>VALUE(CONCATENATE("0","2.487000"))</f>
        <v>2.4870000000000001</v>
      </c>
      <c r="O47" s="7">
        <f>VALUE(CONCATENATE("0",79.881))+VALUE(CONCATENATE("0","2.487000"))-VALUE(CONCATENATE("0",0))-VALUE(CONCATENATE("0",0))-VALUE(CONCATENATE("0",0))-VALUE(CONCATENATE("0",77.02))-VALUE(CONCATENATE("0",0))-VALUE(CONCATENATE("0","5.348000"))</f>
        <v>0</v>
      </c>
      <c r="P47" s="6">
        <v>0.93507187257187263</v>
      </c>
    </row>
    <row r="48" spans="1:16" ht="24.95" customHeight="1">
      <c r="A48" s="5" t="s">
        <v>818</v>
      </c>
      <c r="B48" s="10">
        <v>46</v>
      </c>
      <c r="C48" s="13" t="s">
        <v>817</v>
      </c>
      <c r="D48" s="9" t="s">
        <v>816</v>
      </c>
      <c r="E48" s="9" t="s">
        <v>66</v>
      </c>
      <c r="F48" s="9" t="s">
        <v>83</v>
      </c>
      <c r="G48" s="8">
        <f>VALUE(CONCATENATE("0",78.816))</f>
        <v>78.816000000000003</v>
      </c>
      <c r="H48" s="8">
        <f t="shared" si="4"/>
        <v>0</v>
      </c>
      <c r="I48" s="8">
        <f>VALUE(CONCATENATE("0",0))</f>
        <v>0</v>
      </c>
      <c r="J48" s="8">
        <f t="shared" si="6"/>
        <v>0</v>
      </c>
      <c r="K48" s="8">
        <f>VALUE(CONCATENATE("0",88.761))</f>
        <v>88.760999999999996</v>
      </c>
      <c r="L48" s="8">
        <f t="shared" si="5"/>
        <v>0</v>
      </c>
      <c r="M48" s="8">
        <f>VALUE(CONCATENATE("0","0.000000"))</f>
        <v>0</v>
      </c>
      <c r="N48" s="8">
        <f>VALUE(CONCATENATE("0","9.945000"))</f>
        <v>9.9450000000000003</v>
      </c>
      <c r="O48" s="7">
        <f>VALUE(CONCATENATE("0",78.816))+VALUE(CONCATENATE("0","9.945000"))-VALUE(CONCATENATE("0",0))-VALUE(CONCATENATE("0",0))-VALUE(CONCATENATE("0",0))-VALUE(CONCATENATE("0",88.761))-VALUE(CONCATENATE("0",0))-VALUE(CONCATENATE("0","0.000000"))</f>
        <v>0</v>
      </c>
      <c r="P48" s="6">
        <v>1</v>
      </c>
    </row>
    <row r="49" spans="1:16" ht="29.1" customHeight="1">
      <c r="A49" s="5" t="s">
        <v>815</v>
      </c>
      <c r="B49" s="10">
        <v>47</v>
      </c>
      <c r="C49" s="13" t="s">
        <v>21</v>
      </c>
      <c r="D49" s="9" t="s">
        <v>814</v>
      </c>
      <c r="E49" s="9" t="s">
        <v>96</v>
      </c>
      <c r="F49" s="9" t="s">
        <v>382</v>
      </c>
      <c r="G49" s="8">
        <f>VALUE(CONCATENATE("0",78.35241))</f>
        <v>78.352410000000006</v>
      </c>
      <c r="H49" s="8">
        <f t="shared" si="4"/>
        <v>0</v>
      </c>
      <c r="I49" s="8">
        <f>VALUE(CONCATENATE("0",76.51))</f>
        <v>76.510000000000005</v>
      </c>
      <c r="J49" s="8">
        <f t="shared" si="6"/>
        <v>0</v>
      </c>
      <c r="K49" s="8">
        <f>VALUE(CONCATENATE("0",0))</f>
        <v>0</v>
      </c>
      <c r="L49" s="8">
        <f t="shared" si="5"/>
        <v>0</v>
      </c>
      <c r="M49" s="8">
        <f>VALUE(CONCATENATE("0","1.842410"))</f>
        <v>1.8424100000000001</v>
      </c>
      <c r="N49" s="8">
        <f>VALUE(CONCATENATE("0","0.000000"))</f>
        <v>0</v>
      </c>
      <c r="O49" s="7">
        <f>VALUE(CONCATENATE("0",78.35241))+VALUE(CONCATENATE("0","0.000000"))-VALUE(CONCATENATE("0",0))-VALUE(CONCATENATE("0",0))-VALUE(CONCATENATE("0",76.51))-VALUE(CONCATENATE("0",0))-VALUE(CONCATENATE("0",0))-VALUE(CONCATENATE("0","1.842410"))</f>
        <v>0</v>
      </c>
      <c r="P49" s="6">
        <v>0.97648559884756581</v>
      </c>
    </row>
    <row r="50" spans="1:16" ht="29.1" customHeight="1">
      <c r="A50" s="5" t="s">
        <v>813</v>
      </c>
      <c r="B50" s="10">
        <v>48</v>
      </c>
      <c r="C50" s="13" t="s">
        <v>812</v>
      </c>
      <c r="D50" s="9" t="s">
        <v>811</v>
      </c>
      <c r="E50" s="9" t="s">
        <v>65</v>
      </c>
      <c r="F50" s="9" t="s">
        <v>382</v>
      </c>
      <c r="G50" s="8">
        <f>VALUE(CONCATENATE("0",77.54))</f>
        <v>77.540000000000006</v>
      </c>
      <c r="H50" s="8">
        <f t="shared" si="4"/>
        <v>0</v>
      </c>
      <c r="I50" s="8">
        <f>VALUE(CONCATENATE("0",77.52))</f>
        <v>77.52</v>
      </c>
      <c r="J50" s="8">
        <f t="shared" si="6"/>
        <v>0</v>
      </c>
      <c r="K50" s="8">
        <f>VALUE(CONCATENATE("0",0))</f>
        <v>0</v>
      </c>
      <c r="L50" s="8">
        <f t="shared" si="5"/>
        <v>0</v>
      </c>
      <c r="M50" s="8">
        <f>VALUE(CONCATENATE("0","0.020000"))</f>
        <v>0.02</v>
      </c>
      <c r="N50" s="8">
        <f>VALUE(CONCATENATE("0","0.000000"))</f>
        <v>0</v>
      </c>
      <c r="O50" s="7">
        <f>VALUE(CONCATENATE("0",77.54))+VALUE(CONCATENATE("0","0.000000"))-VALUE(CONCATENATE("0",0))-VALUE(CONCATENATE("0",0))-VALUE(CONCATENATE("0",77.52))-VALUE(CONCATENATE("0",0))-VALUE(CONCATENATE("0",0))-VALUE(CONCATENATE("0","0.020000"))</f>
        <v>1.0231399061311208E-14</v>
      </c>
      <c r="P50" s="6">
        <v>0.99974206860974968</v>
      </c>
    </row>
    <row r="51" spans="1:16" ht="29.1" customHeight="1">
      <c r="A51" s="5" t="s">
        <v>810</v>
      </c>
      <c r="B51" s="10">
        <v>49</v>
      </c>
      <c r="C51" s="13" t="s">
        <v>809</v>
      </c>
      <c r="D51" s="9" t="s">
        <v>808</v>
      </c>
      <c r="E51" s="9" t="s">
        <v>65</v>
      </c>
      <c r="F51" s="9" t="s">
        <v>83</v>
      </c>
      <c r="G51" s="8">
        <f>VALUE(CONCATENATE("0",75.18))</f>
        <v>75.180000000000007</v>
      </c>
      <c r="H51" s="8">
        <f t="shared" ref="H51:H71" si="7">VALUE(CONCATENATE("0",0))</f>
        <v>0</v>
      </c>
      <c r="I51" s="8">
        <f>VALUE(CONCATENATE("0",75.85))</f>
        <v>75.849999999999994</v>
      </c>
      <c r="J51" s="8">
        <f t="shared" si="6"/>
        <v>0</v>
      </c>
      <c r="K51" s="8">
        <f>VALUE(CONCATENATE("0",0))</f>
        <v>0</v>
      </c>
      <c r="L51" s="8">
        <f t="shared" si="5"/>
        <v>0</v>
      </c>
      <c r="M51" s="8">
        <f>VALUE(CONCATENATE("0","44.280000"))</f>
        <v>44.28</v>
      </c>
      <c r="N51" s="8">
        <f>VALUE(CONCATENATE("0","44.950000"))</f>
        <v>44.95</v>
      </c>
      <c r="O51" s="7">
        <f>VALUE(CONCATENATE("0",75.18))+VALUE(CONCATENATE("0","44.950000"))-VALUE(CONCATENATE("0",0))-VALUE(CONCATENATE("0",0))-VALUE(CONCATENATE("0",75.85))-VALUE(CONCATENATE("0",0))-VALUE(CONCATENATE("0",0))-VALUE(CONCATENATE("0","44.280000"))</f>
        <v>0</v>
      </c>
      <c r="P51" s="6">
        <v>0.6313993174061433</v>
      </c>
    </row>
    <row r="52" spans="1:16" ht="24.95" customHeight="1">
      <c r="A52" s="5" t="s">
        <v>807</v>
      </c>
      <c r="B52" s="10">
        <v>50</v>
      </c>
      <c r="C52" s="13" t="s">
        <v>806</v>
      </c>
      <c r="D52" s="9" t="s">
        <v>805</v>
      </c>
      <c r="E52" s="9" t="s">
        <v>66</v>
      </c>
      <c r="F52" s="9" t="s">
        <v>83</v>
      </c>
      <c r="G52" s="8">
        <f>VALUE(CONCATENATE("0",74.832))</f>
        <v>74.831999999999994</v>
      </c>
      <c r="H52" s="8">
        <f t="shared" si="7"/>
        <v>0</v>
      </c>
      <c r="I52" s="8">
        <f>VALUE(CONCATENATE("0",0))</f>
        <v>0</v>
      </c>
      <c r="J52" s="8">
        <f t="shared" si="6"/>
        <v>0</v>
      </c>
      <c r="K52" s="8">
        <f>VALUE(CONCATENATE("0",77.66))</f>
        <v>77.66</v>
      </c>
      <c r="L52" s="8">
        <f t="shared" si="5"/>
        <v>0</v>
      </c>
      <c r="M52" s="8">
        <f>VALUE(CONCATENATE("0","4.682000"))</f>
        <v>4.6820000000000004</v>
      </c>
      <c r="N52" s="8">
        <f>VALUE(CONCATENATE("0","7.510000"))</f>
        <v>7.51</v>
      </c>
      <c r="O52" s="7">
        <f>VALUE(CONCATENATE("0",74.832))+VALUE(CONCATENATE("0","7.510000"))-VALUE(CONCATENATE("0",0))-VALUE(CONCATENATE("0",0))-VALUE(CONCATENATE("0",0))-VALUE(CONCATENATE("0",77.66))-VALUE(CONCATENATE("0",0))-VALUE(CONCATENATE("0","4.682000"))</f>
        <v>0</v>
      </c>
      <c r="P52" s="6">
        <v>0.94313958854533531</v>
      </c>
    </row>
    <row r="53" spans="1:16" ht="24.95" customHeight="1">
      <c r="A53" s="5" t="s">
        <v>804</v>
      </c>
      <c r="B53" s="10">
        <v>51</v>
      </c>
      <c r="C53" s="13" t="s">
        <v>803</v>
      </c>
      <c r="D53" s="9" t="s">
        <v>802</v>
      </c>
      <c r="E53" s="9" t="s">
        <v>65</v>
      </c>
      <c r="F53" s="9" t="s">
        <v>147</v>
      </c>
      <c r="G53" s="8">
        <f>VALUE(CONCATENATE("0",70))</f>
        <v>70</v>
      </c>
      <c r="H53" s="8">
        <f t="shared" si="7"/>
        <v>0</v>
      </c>
      <c r="I53" s="8">
        <f>VALUE(CONCATENATE("0",56.58))</f>
        <v>56.58</v>
      </c>
      <c r="J53" s="8">
        <f t="shared" si="6"/>
        <v>0</v>
      </c>
      <c r="K53" s="8">
        <f>VALUE(CONCATENATE("0",0))</f>
        <v>0</v>
      </c>
      <c r="L53" s="8">
        <f t="shared" si="5"/>
        <v>0</v>
      </c>
      <c r="M53" s="8">
        <f>VALUE(CONCATENATE("0","13.420000"))</f>
        <v>13.42</v>
      </c>
      <c r="N53" s="8">
        <f>VALUE(CONCATENATE("0","0.000000"))</f>
        <v>0</v>
      </c>
      <c r="O53" s="7">
        <f>VALUE(CONCATENATE("0",70))+VALUE(CONCATENATE("0","0.000000"))-VALUE(CONCATENATE("0",0))-VALUE(CONCATENATE("0",0))-VALUE(CONCATENATE("0",56.58))-VALUE(CONCATENATE("0",0))-VALUE(CONCATENATE("0",0))-VALUE(CONCATENATE("0","13.420000"))</f>
        <v>0</v>
      </c>
      <c r="P53" s="6">
        <v>0.80828571428571427</v>
      </c>
    </row>
    <row r="54" spans="1:16" ht="29.1" customHeight="1">
      <c r="A54" s="5" t="s">
        <v>801</v>
      </c>
      <c r="B54" s="10">
        <v>52</v>
      </c>
      <c r="C54" s="13" t="s">
        <v>800</v>
      </c>
      <c r="D54" s="9" t="s">
        <v>799</v>
      </c>
      <c r="E54" s="9" t="s">
        <v>66</v>
      </c>
      <c r="F54" s="9" t="s">
        <v>83</v>
      </c>
      <c r="G54" s="8">
        <f>VALUE(CONCATENATE("0",67.9))</f>
        <v>67.900000000000006</v>
      </c>
      <c r="H54" s="8">
        <f t="shared" si="7"/>
        <v>0</v>
      </c>
      <c r="I54" s="8">
        <f>VALUE(CONCATENATE("0",66.64))</f>
        <v>66.64</v>
      </c>
      <c r="J54" s="8">
        <f t="shared" si="6"/>
        <v>0</v>
      </c>
      <c r="K54" s="8">
        <f>VALUE(CONCATENATE("0",0))</f>
        <v>0</v>
      </c>
      <c r="L54" s="8">
        <f t="shared" si="5"/>
        <v>0</v>
      </c>
      <c r="M54" s="8">
        <f>VALUE(CONCATENATE("0","1.260000"))</f>
        <v>1.26</v>
      </c>
      <c r="N54" s="8">
        <f>VALUE(CONCATENATE("0","0.000000"))</f>
        <v>0</v>
      </c>
      <c r="O54" s="7">
        <f>VALUE(CONCATENATE("0",67.9))+VALUE(CONCATENATE("0","0.000000"))-VALUE(CONCATENATE("0",0))-VALUE(CONCATENATE("0",0))-VALUE(CONCATENATE("0",66.64))-VALUE(CONCATENATE("0",0))-VALUE(CONCATENATE("0",0))-VALUE(CONCATENATE("0","1.260000"))</f>
        <v>5.1070259132757201E-15</v>
      </c>
      <c r="P54" s="6">
        <v>0.98144329896907212</v>
      </c>
    </row>
    <row r="55" spans="1:16" ht="29.1" customHeight="1">
      <c r="A55" s="5" t="s">
        <v>798</v>
      </c>
      <c r="B55" s="10">
        <v>53</v>
      </c>
      <c r="C55" s="13" t="s">
        <v>28</v>
      </c>
      <c r="D55" s="9" t="s">
        <v>797</v>
      </c>
      <c r="E55" s="9" t="s">
        <v>67</v>
      </c>
      <c r="F55" s="9" t="s">
        <v>80</v>
      </c>
      <c r="G55" s="8">
        <f>VALUE(CONCATENATE("0",58.529))</f>
        <v>58.529000000000003</v>
      </c>
      <c r="H55" s="8">
        <f t="shared" si="7"/>
        <v>0</v>
      </c>
      <c r="I55" s="8">
        <f>VALUE(CONCATENATE("0",66))</f>
        <v>66</v>
      </c>
      <c r="J55" s="8">
        <f t="shared" si="6"/>
        <v>0</v>
      </c>
      <c r="K55" s="8">
        <f>VALUE(CONCATENATE("0",0))</f>
        <v>0</v>
      </c>
      <c r="L55" s="8">
        <f t="shared" si="5"/>
        <v>0</v>
      </c>
      <c r="M55" s="8">
        <f>VALUE(CONCATENATE("0","0.000000"))</f>
        <v>0</v>
      </c>
      <c r="N55" s="8">
        <f>VALUE(CONCATENATE("0","7.471000"))</f>
        <v>7.4710000000000001</v>
      </c>
      <c r="O55" s="7">
        <f>VALUE(CONCATENATE("0",58.529))+VALUE(CONCATENATE("0","7.471000"))-VALUE(CONCATENATE("0",0))-VALUE(CONCATENATE("0",0))-VALUE(CONCATENATE("0",66))-VALUE(CONCATENATE("0",0))-VALUE(CONCATENATE("0",0))-VALUE(CONCATENATE("0","0.000000"))</f>
        <v>0</v>
      </c>
      <c r="P55" s="6">
        <v>1</v>
      </c>
    </row>
    <row r="56" spans="1:16" ht="29.1" customHeight="1">
      <c r="A56" s="5" t="s">
        <v>796</v>
      </c>
      <c r="B56" s="10">
        <v>54</v>
      </c>
      <c r="C56" s="13" t="s">
        <v>795</v>
      </c>
      <c r="D56" s="9" t="s">
        <v>794</v>
      </c>
      <c r="E56" s="9" t="s">
        <v>65</v>
      </c>
      <c r="F56" s="9" t="s">
        <v>83</v>
      </c>
      <c r="G56" s="8">
        <f>VALUE(CONCATENATE("0",54.68))</f>
        <v>54.68</v>
      </c>
      <c r="H56" s="8">
        <f t="shared" si="7"/>
        <v>0</v>
      </c>
      <c r="I56" s="8">
        <f>VALUE(CONCATENATE("0",24.65))</f>
        <v>24.65</v>
      </c>
      <c r="J56" s="8">
        <f t="shared" si="6"/>
        <v>0</v>
      </c>
      <c r="K56" s="8">
        <f>VALUE(CONCATENATE("0",5.14))</f>
        <v>5.14</v>
      </c>
      <c r="L56" s="8">
        <f t="shared" si="5"/>
        <v>0</v>
      </c>
      <c r="M56" s="8">
        <f>VALUE(CONCATENATE("0","35.720000"))</f>
        <v>35.72</v>
      </c>
      <c r="N56" s="8">
        <f>VALUE(CONCATENATE("0","10.830000"))</f>
        <v>10.83</v>
      </c>
      <c r="O56" s="7">
        <f>VALUE(CONCATENATE("0",54.68))+VALUE(CONCATENATE("0","10.830000"))-VALUE(CONCATENATE("0",0))-VALUE(CONCATENATE("0",0))-VALUE(CONCATENATE("0",24.65))-VALUE(CONCATENATE("0",5.14))-VALUE(CONCATENATE("0",0))-VALUE(CONCATENATE("0","35.720000"))</f>
        <v>0</v>
      </c>
      <c r="P56" s="6">
        <v>0.45473973439169585</v>
      </c>
    </row>
    <row r="57" spans="1:16" ht="29.1" customHeight="1">
      <c r="A57" s="5" t="s">
        <v>793</v>
      </c>
      <c r="B57" s="10">
        <v>55</v>
      </c>
      <c r="C57" s="13" t="s">
        <v>792</v>
      </c>
      <c r="D57" s="9" t="s">
        <v>791</v>
      </c>
      <c r="E57" s="9" t="s">
        <v>66</v>
      </c>
      <c r="F57" s="9" t="s">
        <v>83</v>
      </c>
      <c r="G57" s="8">
        <f>VALUE(CONCATENATE("0",53))</f>
        <v>53</v>
      </c>
      <c r="H57" s="8">
        <f t="shared" si="7"/>
        <v>0</v>
      </c>
      <c r="I57" s="8">
        <f>VALUE(CONCATENATE("0",51.28))</f>
        <v>51.28</v>
      </c>
      <c r="J57" s="8">
        <f t="shared" si="6"/>
        <v>0</v>
      </c>
      <c r="K57" s="8">
        <f>VALUE(CONCATENATE("0",0))</f>
        <v>0</v>
      </c>
      <c r="L57" s="8">
        <f t="shared" si="5"/>
        <v>0</v>
      </c>
      <c r="M57" s="8">
        <f>VALUE(CONCATENATE("0","15.760000"))</f>
        <v>15.76</v>
      </c>
      <c r="N57" s="8">
        <f>VALUE(CONCATENATE("0","14.040000"))</f>
        <v>14.04</v>
      </c>
      <c r="O57" s="7">
        <f>VALUE(CONCATENATE("0",53))+VALUE(CONCATENATE("0","14.040000"))-VALUE(CONCATENATE("0",0))-VALUE(CONCATENATE("0",0))-VALUE(CONCATENATE("0",51.28))-VALUE(CONCATENATE("0",0))-VALUE(CONCATENATE("0",0))-VALUE(CONCATENATE("0","15.760000"))</f>
        <v>0</v>
      </c>
      <c r="P57" s="6">
        <v>0.76491646778042954</v>
      </c>
    </row>
    <row r="58" spans="1:16" ht="24.95" customHeight="1">
      <c r="A58" s="5" t="s">
        <v>790</v>
      </c>
      <c r="B58" s="10">
        <v>56</v>
      </c>
      <c r="C58" s="13" t="s">
        <v>9</v>
      </c>
      <c r="D58" s="9" t="s">
        <v>789</v>
      </c>
      <c r="E58" s="9" t="s">
        <v>66</v>
      </c>
      <c r="F58" s="9" t="s">
        <v>83</v>
      </c>
      <c r="G58" s="8">
        <f>VALUE(CONCATENATE("0",50.08))</f>
        <v>50.08</v>
      </c>
      <c r="H58" s="8">
        <f t="shared" si="7"/>
        <v>0</v>
      </c>
      <c r="I58" s="8">
        <f>VALUE(CONCATENATE("0",0))</f>
        <v>0</v>
      </c>
      <c r="J58" s="8">
        <f t="shared" si="6"/>
        <v>0</v>
      </c>
      <c r="K58" s="8">
        <f>VALUE(CONCATENATE("0",52.54))</f>
        <v>52.54</v>
      </c>
      <c r="L58" s="8">
        <f t="shared" si="5"/>
        <v>0</v>
      </c>
      <c r="M58" s="8">
        <f>VALUE(CONCATENATE("0","18.980000"))</f>
        <v>18.98</v>
      </c>
      <c r="N58" s="8">
        <f>VALUE(CONCATENATE("0","21.440000"))</f>
        <v>21.44</v>
      </c>
      <c r="O58" s="7">
        <f>VALUE(CONCATENATE("0",50.08))+VALUE(CONCATENATE("0","21.440000"))-VALUE(CONCATENATE("0",0))-VALUE(CONCATENATE("0",0))-VALUE(CONCATENATE("0",0))-VALUE(CONCATENATE("0",52.54))-VALUE(CONCATENATE("0",0))-VALUE(CONCATENATE("0","18.980000"))</f>
        <v>0</v>
      </c>
      <c r="P58" s="6">
        <v>0.73461968680089484</v>
      </c>
    </row>
    <row r="59" spans="1:16" ht="29.1" customHeight="1">
      <c r="A59" s="5" t="s">
        <v>788</v>
      </c>
      <c r="B59" s="10">
        <v>57</v>
      </c>
      <c r="C59" s="13" t="s">
        <v>787</v>
      </c>
      <c r="D59" s="9" t="s">
        <v>786</v>
      </c>
      <c r="E59" s="9" t="s">
        <v>65</v>
      </c>
      <c r="F59" s="9" t="s">
        <v>140</v>
      </c>
      <c r="G59" s="8">
        <f>VALUE(CONCATENATE("0",48.6))</f>
        <v>48.6</v>
      </c>
      <c r="H59" s="8">
        <f t="shared" si="7"/>
        <v>0</v>
      </c>
      <c r="I59" s="8">
        <f>VALUE(CONCATENATE("0",48.6))</f>
        <v>48.6</v>
      </c>
      <c r="J59" s="8">
        <f t="shared" si="6"/>
        <v>0</v>
      </c>
      <c r="K59" s="8">
        <f>VALUE(CONCATENATE("0",0))</f>
        <v>0</v>
      </c>
      <c r="L59" s="8">
        <f t="shared" si="5"/>
        <v>0</v>
      </c>
      <c r="M59" s="8">
        <f>VALUE(CONCATENATE("0","0.000000"))</f>
        <v>0</v>
      </c>
      <c r="N59" s="8">
        <f>VALUE(CONCATENATE("0","0.000000"))</f>
        <v>0</v>
      </c>
      <c r="O59" s="7">
        <f>VALUE(CONCATENATE("0",48.6))+VALUE(CONCATENATE("0","0.000000"))-VALUE(CONCATENATE("0",0))-VALUE(CONCATENATE("0",0))-VALUE(CONCATENATE("0",48.6))-VALUE(CONCATENATE("0",0))-VALUE(CONCATENATE("0",0))-VALUE(CONCATENATE("0","0.000000"))</f>
        <v>0</v>
      </c>
      <c r="P59" s="6">
        <v>1</v>
      </c>
    </row>
    <row r="60" spans="1:16" ht="24.95" customHeight="1">
      <c r="A60" s="5" t="s">
        <v>785</v>
      </c>
      <c r="B60" s="10">
        <v>58</v>
      </c>
      <c r="C60" s="13" t="s">
        <v>57</v>
      </c>
      <c r="D60" s="9" t="s">
        <v>784</v>
      </c>
      <c r="E60" s="9" t="s">
        <v>73</v>
      </c>
      <c r="F60" s="9" t="s">
        <v>83</v>
      </c>
      <c r="G60" s="8">
        <f>VALUE(CONCATENATE("0",47.43))</f>
        <v>47.43</v>
      </c>
      <c r="H60" s="8">
        <f t="shared" si="7"/>
        <v>0</v>
      </c>
      <c r="I60" s="8">
        <f>VALUE(CONCATENATE("0",26.56))</f>
        <v>26.56</v>
      </c>
      <c r="J60" s="8">
        <f t="shared" si="6"/>
        <v>0</v>
      </c>
      <c r="K60" s="8">
        <f>VALUE(CONCATENATE("0",20.87))</f>
        <v>20.87</v>
      </c>
      <c r="L60" s="8">
        <f t="shared" si="5"/>
        <v>0</v>
      </c>
      <c r="M60" s="8">
        <f>VALUE(CONCATENATE("0","0.000000"))</f>
        <v>0</v>
      </c>
      <c r="N60" s="8">
        <f>VALUE(CONCATENATE("0","0.000000"))</f>
        <v>0</v>
      </c>
      <c r="O60" s="7">
        <f>VALUE(CONCATENATE("0",47.43))+VALUE(CONCATENATE("0","0.000000"))-VALUE(CONCATENATE("0",0))-VALUE(CONCATENATE("0",0))-VALUE(CONCATENATE("0",26.56))-VALUE(CONCATENATE("0",20.87))-VALUE(CONCATENATE("0",0))-VALUE(CONCATENATE("0","0.000000"))</f>
        <v>0</v>
      </c>
      <c r="P60" s="6">
        <v>1</v>
      </c>
    </row>
    <row r="61" spans="1:16" ht="29.1" customHeight="1">
      <c r="A61" s="5" t="s">
        <v>783</v>
      </c>
      <c r="B61" s="10">
        <v>59</v>
      </c>
      <c r="C61" s="13" t="s">
        <v>782</v>
      </c>
      <c r="D61" s="9" t="s">
        <v>362</v>
      </c>
      <c r="E61" s="9" t="s">
        <v>65</v>
      </c>
      <c r="F61" s="9" t="s">
        <v>147</v>
      </c>
      <c r="G61" s="8">
        <f>VALUE(CONCATENATE("0",45))</f>
        <v>45</v>
      </c>
      <c r="H61" s="8">
        <f t="shared" si="7"/>
        <v>0</v>
      </c>
      <c r="I61" s="8">
        <f>VALUE(CONCATENATE("0",64.6))</f>
        <v>64.599999999999994</v>
      </c>
      <c r="J61" s="8">
        <f t="shared" si="6"/>
        <v>0</v>
      </c>
      <c r="K61" s="8">
        <f>VALUE(CONCATENATE("0",0))</f>
        <v>0</v>
      </c>
      <c r="L61" s="8">
        <f t="shared" si="5"/>
        <v>0</v>
      </c>
      <c r="M61" s="8">
        <f>VALUE(CONCATENATE("0","0.000000"))</f>
        <v>0</v>
      </c>
      <c r="N61" s="8">
        <f>VALUE(CONCATENATE("0","19.600000"))</f>
        <v>19.600000000000001</v>
      </c>
      <c r="O61" s="7">
        <f>VALUE(CONCATENATE("0",45))+VALUE(CONCATENATE("0","19.600000"))-VALUE(CONCATENATE("0",0))-VALUE(CONCATENATE("0",0))-VALUE(CONCATENATE("0",64.6))-VALUE(CONCATENATE("0",0))-VALUE(CONCATENATE("0",0))-VALUE(CONCATENATE("0","0.000000"))</f>
        <v>0</v>
      </c>
      <c r="P61" s="6">
        <v>1</v>
      </c>
    </row>
    <row r="62" spans="1:16" ht="29.1" customHeight="1">
      <c r="A62" s="5" t="s">
        <v>781</v>
      </c>
      <c r="B62" s="10">
        <v>60</v>
      </c>
      <c r="C62" s="13" t="s">
        <v>780</v>
      </c>
      <c r="D62" s="9" t="s">
        <v>779</v>
      </c>
      <c r="E62" s="9" t="s">
        <v>65</v>
      </c>
      <c r="F62" s="9" t="s">
        <v>382</v>
      </c>
      <c r="G62" s="8">
        <f>VALUE(CONCATENATE("0",42.56))</f>
        <v>42.56</v>
      </c>
      <c r="H62" s="8">
        <f t="shared" si="7"/>
        <v>0</v>
      </c>
      <c r="I62" s="8">
        <f>VALUE(CONCATENATE("0",42.56))</f>
        <v>42.56</v>
      </c>
      <c r="J62" s="8">
        <f t="shared" si="6"/>
        <v>0</v>
      </c>
      <c r="K62" s="8">
        <f>VALUE(CONCATENATE("0",0))</f>
        <v>0</v>
      </c>
      <c r="L62" s="8">
        <f t="shared" si="5"/>
        <v>0</v>
      </c>
      <c r="M62" s="8">
        <f>VALUE(CONCATENATE("0","0.000000"))</f>
        <v>0</v>
      </c>
      <c r="N62" s="8">
        <f>VALUE(CONCATENATE("0","0.000000"))</f>
        <v>0</v>
      </c>
      <c r="O62" s="7">
        <f>VALUE(CONCATENATE("0",42.56))+VALUE(CONCATENATE("0","0.000000"))-VALUE(CONCATENATE("0",0))-VALUE(CONCATENATE("0",0))-VALUE(CONCATENATE("0",42.56))-VALUE(CONCATENATE("0",0))-VALUE(CONCATENATE("0",0))-VALUE(CONCATENATE("0","0.000000"))</f>
        <v>0</v>
      </c>
      <c r="P62" s="6">
        <v>1</v>
      </c>
    </row>
    <row r="63" spans="1:16" ht="29.1" customHeight="1">
      <c r="A63" s="5" t="s">
        <v>778</v>
      </c>
      <c r="B63" s="10">
        <v>61</v>
      </c>
      <c r="C63" s="13" t="s">
        <v>777</v>
      </c>
      <c r="D63" s="9" t="s">
        <v>776</v>
      </c>
      <c r="E63" s="9" t="s">
        <v>65</v>
      </c>
      <c r="F63" s="9" t="s">
        <v>382</v>
      </c>
      <c r="G63" s="8">
        <f>VALUE(CONCATENATE("0",39.65))</f>
        <v>39.65</v>
      </c>
      <c r="H63" s="8">
        <f t="shared" si="7"/>
        <v>0</v>
      </c>
      <c r="I63" s="8">
        <f>VALUE(CONCATENATE("0",39.65))</f>
        <v>39.65</v>
      </c>
      <c r="J63" s="8">
        <f t="shared" si="6"/>
        <v>0</v>
      </c>
      <c r="K63" s="8">
        <f>VALUE(CONCATENATE("0",0))</f>
        <v>0</v>
      </c>
      <c r="L63" s="8">
        <f t="shared" si="5"/>
        <v>0</v>
      </c>
      <c r="M63" s="8">
        <f>VALUE(CONCATENATE("0","0.000000"))</f>
        <v>0</v>
      </c>
      <c r="N63" s="8">
        <f>VALUE(CONCATENATE("0","0.000000"))</f>
        <v>0</v>
      </c>
      <c r="O63" s="7">
        <f>VALUE(CONCATENATE("0",39.65))+VALUE(CONCATENATE("0","0.000000"))-VALUE(CONCATENATE("0",0))-VALUE(CONCATENATE("0",0))-VALUE(CONCATENATE("0",39.65))-VALUE(CONCATENATE("0",0))-VALUE(CONCATENATE("0",0))-VALUE(CONCATENATE("0","0.000000"))</f>
        <v>0</v>
      </c>
      <c r="P63" s="6">
        <v>1</v>
      </c>
    </row>
    <row r="64" spans="1:16" ht="24.95" customHeight="1">
      <c r="A64" s="5" t="s">
        <v>775</v>
      </c>
      <c r="B64" s="10">
        <v>62</v>
      </c>
      <c r="C64" s="13" t="s">
        <v>774</v>
      </c>
      <c r="D64" s="9" t="s">
        <v>773</v>
      </c>
      <c r="E64" s="9" t="s">
        <v>65</v>
      </c>
      <c r="F64" s="9" t="s">
        <v>83</v>
      </c>
      <c r="G64" s="8">
        <f>VALUE(CONCATENATE("0",33.9545))</f>
        <v>33.954500000000003</v>
      </c>
      <c r="H64" s="8">
        <f t="shared" si="7"/>
        <v>0</v>
      </c>
      <c r="I64" s="8">
        <f>VALUE(CONCATENATE("0",5.66))</f>
        <v>5.66</v>
      </c>
      <c r="J64" s="8">
        <f t="shared" si="6"/>
        <v>0</v>
      </c>
      <c r="K64" s="8">
        <f>VALUE(CONCATENATE("0",21.44))</f>
        <v>21.44</v>
      </c>
      <c r="L64" s="8">
        <f t="shared" si="5"/>
        <v>0</v>
      </c>
      <c r="M64" s="8">
        <f>VALUE(CONCATENATE("0","6.854500"))</f>
        <v>6.8544999999999998</v>
      </c>
      <c r="N64" s="8">
        <f>VALUE(CONCATENATE("0","0.000000"))</f>
        <v>0</v>
      </c>
      <c r="O64" s="7">
        <f>VALUE(CONCATENATE("0",33.9545))+VALUE(CONCATENATE("0","0.000000"))-VALUE(CONCATENATE("0",0))-VALUE(CONCATENATE("0",0))-VALUE(CONCATENATE("0",5.66))-VALUE(CONCATENATE("0",21.44))-VALUE(CONCATENATE("0",0))-VALUE(CONCATENATE("0","6.854500"))</f>
        <v>0</v>
      </c>
      <c r="P64" s="6">
        <v>0.7981269051230323</v>
      </c>
    </row>
    <row r="65" spans="1:16" ht="24.95" customHeight="1">
      <c r="A65" s="5" t="s">
        <v>772</v>
      </c>
      <c r="B65" s="10">
        <v>63</v>
      </c>
      <c r="C65" s="13" t="s">
        <v>771</v>
      </c>
      <c r="D65" s="9" t="s">
        <v>770</v>
      </c>
      <c r="E65" s="9" t="s">
        <v>65</v>
      </c>
      <c r="F65" s="9" t="s">
        <v>147</v>
      </c>
      <c r="G65" s="8">
        <f>VALUE(CONCATENATE("0",30.35))</f>
        <v>30.35</v>
      </c>
      <c r="H65" s="8">
        <f t="shared" si="7"/>
        <v>0</v>
      </c>
      <c r="I65" s="8">
        <f>VALUE(CONCATENATE("0",39.92))</f>
        <v>39.92</v>
      </c>
      <c r="J65" s="8">
        <f t="shared" si="6"/>
        <v>0</v>
      </c>
      <c r="K65" s="8">
        <f t="shared" ref="K65:K74" si="8">VALUE(CONCATENATE("0",0))</f>
        <v>0</v>
      </c>
      <c r="L65" s="8">
        <f t="shared" si="5"/>
        <v>0</v>
      </c>
      <c r="M65" s="8">
        <f>VALUE(CONCATENATE("0","20.060000"))</f>
        <v>20.059999999999999</v>
      </c>
      <c r="N65" s="8">
        <f>VALUE(CONCATENATE("0","29.630000"))</f>
        <v>29.63</v>
      </c>
      <c r="O65" s="7">
        <f>VALUE(CONCATENATE("0",30.35))+VALUE(CONCATENATE("0","29.630000"))-VALUE(CONCATENATE("0",0))-VALUE(CONCATENATE("0",0))-VALUE(CONCATENATE("0",39.92))-VALUE(CONCATENATE("0",0))-VALUE(CONCATENATE("0",0))-VALUE(CONCATENATE("0","20.060000"))</f>
        <v>0</v>
      </c>
      <c r="P65" s="6">
        <v>0.66555518506168732</v>
      </c>
    </row>
    <row r="66" spans="1:16" ht="24.95" customHeight="1">
      <c r="A66" s="5" t="s">
        <v>769</v>
      </c>
      <c r="B66" s="10">
        <v>64</v>
      </c>
      <c r="C66" s="13" t="s">
        <v>768</v>
      </c>
      <c r="D66" s="9" t="s">
        <v>767</v>
      </c>
      <c r="E66" s="9" t="s">
        <v>96</v>
      </c>
      <c r="F66" s="9" t="s">
        <v>83</v>
      </c>
      <c r="G66" s="8">
        <f>VALUE(CONCATENATE("0",30))</f>
        <v>30</v>
      </c>
      <c r="H66" s="8">
        <f t="shared" si="7"/>
        <v>0</v>
      </c>
      <c r="I66" s="8">
        <f>VALUE(CONCATENATE("0",30))</f>
        <v>30</v>
      </c>
      <c r="J66" s="8">
        <f t="shared" si="6"/>
        <v>0</v>
      </c>
      <c r="K66" s="8">
        <f t="shared" si="8"/>
        <v>0</v>
      </c>
      <c r="L66" s="8">
        <f t="shared" si="5"/>
        <v>0</v>
      </c>
      <c r="M66" s="8">
        <f>VALUE(CONCATENATE("0","0.000000"))</f>
        <v>0</v>
      </c>
      <c r="N66" s="8">
        <f>VALUE(CONCATENATE("0","0.000000"))</f>
        <v>0</v>
      </c>
      <c r="O66" s="7">
        <f>VALUE(CONCATENATE("0",30))+VALUE(CONCATENATE("0","0.000000"))-VALUE(CONCATENATE("0",0))-VALUE(CONCATENATE("0",0))-VALUE(CONCATENATE("0",30))-VALUE(CONCATENATE("0",0))-VALUE(CONCATENATE("0",0))-VALUE(CONCATENATE("0","0.000000"))</f>
        <v>0</v>
      </c>
      <c r="P66" s="6">
        <v>1</v>
      </c>
    </row>
    <row r="67" spans="1:16" ht="24.95" customHeight="1">
      <c r="A67" s="5" t="s">
        <v>766</v>
      </c>
      <c r="B67" s="10">
        <v>65</v>
      </c>
      <c r="C67" s="13" t="s">
        <v>765</v>
      </c>
      <c r="D67" s="9" t="s">
        <v>764</v>
      </c>
      <c r="E67" s="9" t="s">
        <v>66</v>
      </c>
      <c r="F67" s="9" t="s">
        <v>83</v>
      </c>
      <c r="G67" s="8">
        <f>VALUE(CONCATENATE("0",30))</f>
        <v>30</v>
      </c>
      <c r="H67" s="8">
        <f t="shared" si="7"/>
        <v>0</v>
      </c>
      <c r="I67" s="8">
        <f>VALUE(CONCATENATE("0",30))</f>
        <v>30</v>
      </c>
      <c r="J67" s="8">
        <f t="shared" si="6"/>
        <v>0</v>
      </c>
      <c r="K67" s="8">
        <f t="shared" si="8"/>
        <v>0</v>
      </c>
      <c r="L67" s="8">
        <f t="shared" ref="L67:L98" si="9">VALUE(CONCATENATE("0",0))</f>
        <v>0</v>
      </c>
      <c r="M67" s="8">
        <f>VALUE(CONCATENATE("0","0.000000"))</f>
        <v>0</v>
      </c>
      <c r="N67" s="8">
        <f>VALUE(CONCATENATE("0","0.000000"))</f>
        <v>0</v>
      </c>
      <c r="O67" s="7">
        <f>VALUE(CONCATENATE("0",30))+VALUE(CONCATENATE("0","0.000000"))-VALUE(CONCATENATE("0",0))-VALUE(CONCATENATE("0",0))-VALUE(CONCATENATE("0",30))-VALUE(CONCATENATE("0",0))-VALUE(CONCATENATE("0",0))-VALUE(CONCATENATE("0","0.000000"))</f>
        <v>0</v>
      </c>
      <c r="P67" s="6">
        <v>1</v>
      </c>
    </row>
    <row r="68" spans="1:16" ht="29.1" customHeight="1">
      <c r="A68" s="5" t="s">
        <v>763</v>
      </c>
      <c r="B68" s="10">
        <v>66</v>
      </c>
      <c r="C68" s="13" t="s">
        <v>762</v>
      </c>
      <c r="D68" s="9" t="s">
        <v>362</v>
      </c>
      <c r="E68" s="9" t="s">
        <v>65</v>
      </c>
      <c r="F68" s="9" t="s">
        <v>282</v>
      </c>
      <c r="G68" s="8">
        <f>VALUE(CONCATENATE("0",28.42))</f>
        <v>28.42</v>
      </c>
      <c r="H68" s="8">
        <f t="shared" si="7"/>
        <v>0</v>
      </c>
      <c r="I68" s="8">
        <f>VALUE(CONCATENATE("0",92.52))</f>
        <v>92.52</v>
      </c>
      <c r="J68" s="8">
        <f t="shared" si="6"/>
        <v>0</v>
      </c>
      <c r="K68" s="8">
        <f t="shared" si="8"/>
        <v>0</v>
      </c>
      <c r="L68" s="8">
        <f t="shared" si="9"/>
        <v>0</v>
      </c>
      <c r="M68" s="8">
        <f>VALUE(CONCATENATE("0","10.920000"))</f>
        <v>10.92</v>
      </c>
      <c r="N68" s="8">
        <f>VALUE(CONCATENATE("0","75.020000"))</f>
        <v>75.02</v>
      </c>
      <c r="O68" s="7">
        <f>VALUE(CONCATENATE("0",28.42))+VALUE(CONCATENATE("0","75.020000"))-VALUE(CONCATENATE("0",0))-VALUE(CONCATENATE("0",0))-VALUE(CONCATENATE("0",92.52))-VALUE(CONCATENATE("0",0))-VALUE(CONCATENATE("0",0))-VALUE(CONCATENATE("0","10.920000"))</f>
        <v>0</v>
      </c>
      <c r="P68" s="6">
        <v>0.89443155452436196</v>
      </c>
    </row>
    <row r="69" spans="1:16" ht="29.1" customHeight="1">
      <c r="A69" s="5" t="s">
        <v>761</v>
      </c>
      <c r="B69" s="10">
        <v>67</v>
      </c>
      <c r="C69" s="13" t="s">
        <v>760</v>
      </c>
      <c r="D69" s="9" t="s">
        <v>759</v>
      </c>
      <c r="E69" s="9" t="s">
        <v>67</v>
      </c>
      <c r="F69" s="9" t="s">
        <v>147</v>
      </c>
      <c r="G69" s="8">
        <f>VALUE(CONCATENATE("0",27.815))</f>
        <v>27.815000000000001</v>
      </c>
      <c r="H69" s="8">
        <f t="shared" si="7"/>
        <v>0</v>
      </c>
      <c r="I69" s="8">
        <f>VALUE(CONCATENATE("0",0))</f>
        <v>0</v>
      </c>
      <c r="J69" s="8">
        <f t="shared" si="6"/>
        <v>0</v>
      </c>
      <c r="K69" s="8">
        <f t="shared" si="8"/>
        <v>0</v>
      </c>
      <c r="L69" s="8">
        <f t="shared" si="9"/>
        <v>0</v>
      </c>
      <c r="M69" s="8">
        <f>VALUE(CONCATENATE("0","403.623000"))</f>
        <v>403.62299999999999</v>
      </c>
      <c r="N69" s="8">
        <f>VALUE(CONCATENATE("0","375.808000"))</f>
        <v>375.80799999999999</v>
      </c>
      <c r="O69" s="7">
        <f>VALUE(CONCATENATE("0",27.815))+VALUE(CONCATENATE("0","375.808000"))-VALUE(CONCATENATE("0",0))-VALUE(CONCATENATE("0",0))-VALUE(CONCATENATE("0",0))-VALUE(CONCATENATE("0",0))-VALUE(CONCATENATE("0",0))-VALUE(CONCATENATE("0","403.623000"))</f>
        <v>0</v>
      </c>
      <c r="P69" s="6">
        <v>0</v>
      </c>
    </row>
    <row r="70" spans="1:16" ht="29.1" customHeight="1">
      <c r="A70" s="5" t="s">
        <v>758</v>
      </c>
      <c r="B70" s="10">
        <v>68</v>
      </c>
      <c r="C70" s="13" t="s">
        <v>757</v>
      </c>
      <c r="D70" s="9" t="s">
        <v>756</v>
      </c>
      <c r="E70" s="9" t="s">
        <v>65</v>
      </c>
      <c r="F70" s="9" t="s">
        <v>147</v>
      </c>
      <c r="G70" s="8">
        <f>VALUE(CONCATENATE("0",27.7))</f>
        <v>27.7</v>
      </c>
      <c r="H70" s="8">
        <f t="shared" si="7"/>
        <v>0</v>
      </c>
      <c r="I70" s="8">
        <f>VALUE(CONCATENATE("0",31.6))</f>
        <v>31.6</v>
      </c>
      <c r="J70" s="8">
        <f t="shared" si="6"/>
        <v>0</v>
      </c>
      <c r="K70" s="8">
        <f t="shared" si="8"/>
        <v>0</v>
      </c>
      <c r="L70" s="8">
        <f t="shared" si="9"/>
        <v>0</v>
      </c>
      <c r="M70" s="8">
        <f>VALUE(CONCATENATE("0","8.960000"))</f>
        <v>8.9600000000000009</v>
      </c>
      <c r="N70" s="8">
        <f>VALUE(CONCATENATE("0","12.860000"))</f>
        <v>12.86</v>
      </c>
      <c r="O70" s="7">
        <f>VALUE(CONCATENATE("0",27.7))+VALUE(CONCATENATE("0","12.860000"))-VALUE(CONCATENATE("0",0))-VALUE(CONCATENATE("0",0))-VALUE(CONCATENATE("0",31.6))-VALUE(CONCATENATE("0",0))-VALUE(CONCATENATE("0",0))-VALUE(CONCATENATE("0","8.960000"))</f>
        <v>0</v>
      </c>
      <c r="P70" s="6">
        <v>0.77909270216962523</v>
      </c>
    </row>
    <row r="71" spans="1:16" ht="29.1" customHeight="1">
      <c r="A71" s="5" t="s">
        <v>755</v>
      </c>
      <c r="B71" s="10">
        <v>69</v>
      </c>
      <c r="C71" s="13" t="s">
        <v>754</v>
      </c>
      <c r="D71" s="9" t="s">
        <v>753</v>
      </c>
      <c r="E71" s="9" t="s">
        <v>108</v>
      </c>
      <c r="F71" s="9" t="s">
        <v>83</v>
      </c>
      <c r="G71" s="8">
        <f>VALUE(CONCATENATE("0",26.57))</f>
        <v>26.57</v>
      </c>
      <c r="H71" s="8">
        <f t="shared" si="7"/>
        <v>0</v>
      </c>
      <c r="I71" s="8">
        <f>VALUE(CONCATENATE("0",26.57))</f>
        <v>26.57</v>
      </c>
      <c r="J71" s="8">
        <f t="shared" si="6"/>
        <v>0</v>
      </c>
      <c r="K71" s="8">
        <f t="shared" si="8"/>
        <v>0</v>
      </c>
      <c r="L71" s="8">
        <f t="shared" si="9"/>
        <v>0</v>
      </c>
      <c r="M71" s="8">
        <f t="shared" ref="M71:N73" si="10">VALUE(CONCATENATE("0","0.000000"))</f>
        <v>0</v>
      </c>
      <c r="N71" s="8">
        <f t="shared" si="10"/>
        <v>0</v>
      </c>
      <c r="O71" s="7">
        <f>VALUE(CONCATENATE("0",26.57))+VALUE(CONCATENATE("0","0.000000"))-VALUE(CONCATENATE("0",0))-VALUE(CONCATENATE("0",0))-VALUE(CONCATENATE("0",26.57))-VALUE(CONCATENATE("0",0))-VALUE(CONCATENATE("0",0))-VALUE(CONCATENATE("0","0.000000"))</f>
        <v>0</v>
      </c>
      <c r="P71" s="6">
        <v>1</v>
      </c>
    </row>
    <row r="72" spans="1:16" ht="29.1" customHeight="1">
      <c r="A72" s="5" t="s">
        <v>752</v>
      </c>
      <c r="B72" s="10">
        <v>70</v>
      </c>
      <c r="C72" s="13" t="s">
        <v>751</v>
      </c>
      <c r="D72" s="9" t="s">
        <v>750</v>
      </c>
      <c r="E72" s="9" t="s">
        <v>65</v>
      </c>
      <c r="F72" s="9" t="s">
        <v>83</v>
      </c>
      <c r="G72" s="8">
        <f>VALUE(CONCATENATE("0",26.445))</f>
        <v>26.445</v>
      </c>
      <c r="H72" s="8">
        <f>VALUE(CONCATENATE("0",1.72))</f>
        <v>1.72</v>
      </c>
      <c r="I72" s="8">
        <f>VALUE(CONCATENATE("0",0))</f>
        <v>0</v>
      </c>
      <c r="J72" s="8">
        <f>VALUE(CONCATENATE("0",24.725))</f>
        <v>24.725000000000001</v>
      </c>
      <c r="K72" s="8">
        <f t="shared" si="8"/>
        <v>0</v>
      </c>
      <c r="L72" s="8">
        <f t="shared" si="9"/>
        <v>0</v>
      </c>
      <c r="M72" s="8">
        <f t="shared" si="10"/>
        <v>0</v>
      </c>
      <c r="N72" s="8">
        <f t="shared" si="10"/>
        <v>0</v>
      </c>
      <c r="O72" s="7">
        <f>VALUE(CONCATENATE("0",26.445))+VALUE(CONCATENATE("0","0.000000"))-VALUE(CONCATENATE("0",1.72))-VALUE(CONCATENATE("0",24.725))-VALUE(CONCATENATE("0",0))-VALUE(CONCATENATE("0",0))-VALUE(CONCATENATE("0",0))-VALUE(CONCATENATE("0","0.000000"))</f>
        <v>0</v>
      </c>
      <c r="P72" s="6">
        <v>1</v>
      </c>
    </row>
    <row r="73" spans="1:16" ht="24.95" customHeight="1">
      <c r="A73" s="5" t="s">
        <v>749</v>
      </c>
      <c r="B73" s="10">
        <v>71</v>
      </c>
      <c r="C73" s="13" t="s">
        <v>748</v>
      </c>
      <c r="D73" s="9" t="s">
        <v>747</v>
      </c>
      <c r="E73" s="9" t="s">
        <v>68</v>
      </c>
      <c r="F73" s="9" t="s">
        <v>147</v>
      </c>
      <c r="G73" s="8">
        <f>VALUE(CONCATENATE("0",25))</f>
        <v>25</v>
      </c>
      <c r="H73" s="8">
        <f t="shared" ref="H73:H90" si="11">VALUE(CONCATENATE("0",0))</f>
        <v>0</v>
      </c>
      <c r="I73" s="8">
        <f>VALUE(CONCATENATE("0",25))</f>
        <v>25</v>
      </c>
      <c r="J73" s="8">
        <f t="shared" ref="J73:J136" si="12">VALUE(CONCATENATE("0",0))</f>
        <v>0</v>
      </c>
      <c r="K73" s="8">
        <f t="shared" si="8"/>
        <v>0</v>
      </c>
      <c r="L73" s="8">
        <f t="shared" si="9"/>
        <v>0</v>
      </c>
      <c r="M73" s="8">
        <f t="shared" si="10"/>
        <v>0</v>
      </c>
      <c r="N73" s="8">
        <f t="shared" si="10"/>
        <v>0</v>
      </c>
      <c r="O73" s="7">
        <f>VALUE(CONCATENATE("0",25))+VALUE(CONCATENATE("0","0.000000"))-VALUE(CONCATENATE("0",0))-VALUE(CONCATENATE("0",0))-VALUE(CONCATENATE("0",25))-VALUE(CONCATENATE("0",0))-VALUE(CONCATENATE("0",0))-VALUE(CONCATENATE("0","0.000000"))</f>
        <v>0</v>
      </c>
      <c r="P73" s="6">
        <v>1</v>
      </c>
    </row>
    <row r="74" spans="1:16" ht="29.1" customHeight="1">
      <c r="A74" s="5" t="s">
        <v>746</v>
      </c>
      <c r="B74" s="10">
        <v>72</v>
      </c>
      <c r="C74" s="13" t="s">
        <v>745</v>
      </c>
      <c r="D74" s="9" t="s">
        <v>744</v>
      </c>
      <c r="E74" s="9" t="s">
        <v>66</v>
      </c>
      <c r="F74" s="9" t="s">
        <v>83</v>
      </c>
      <c r="G74" s="8">
        <f>VALUE(CONCATENATE("0",25))</f>
        <v>25</v>
      </c>
      <c r="H74" s="8">
        <f t="shared" si="11"/>
        <v>0</v>
      </c>
      <c r="I74" s="8">
        <f>VALUE(CONCATENATE("0",29.98))</f>
        <v>29.98</v>
      </c>
      <c r="J74" s="8">
        <f t="shared" si="12"/>
        <v>0</v>
      </c>
      <c r="K74" s="8">
        <f t="shared" si="8"/>
        <v>0</v>
      </c>
      <c r="L74" s="8">
        <f t="shared" si="9"/>
        <v>0</v>
      </c>
      <c r="M74" s="8">
        <f>VALUE(CONCATENATE("0","5.220000"))</f>
        <v>5.22</v>
      </c>
      <c r="N74" s="8">
        <f>VALUE(CONCATENATE("0","10.200000"))</f>
        <v>10.199999999999999</v>
      </c>
      <c r="O74" s="7">
        <f>VALUE(CONCATENATE("0",25))+VALUE(CONCATENATE("0","10.200000"))-VALUE(CONCATENATE("0",0))-VALUE(CONCATENATE("0",0))-VALUE(CONCATENATE("0",29.98))-VALUE(CONCATENATE("0",0))-VALUE(CONCATENATE("0",0))-VALUE(CONCATENATE("0","5.220000"))</f>
        <v>0</v>
      </c>
      <c r="P74" s="6">
        <v>0.85170454545454544</v>
      </c>
    </row>
    <row r="75" spans="1:16" ht="24.95" customHeight="1">
      <c r="A75" s="5" t="s">
        <v>743</v>
      </c>
      <c r="B75" s="10">
        <v>73</v>
      </c>
      <c r="C75" s="13" t="s">
        <v>742</v>
      </c>
      <c r="D75" s="9" t="s">
        <v>741</v>
      </c>
      <c r="E75" s="9" t="s">
        <v>67</v>
      </c>
      <c r="F75" s="9" t="s">
        <v>83</v>
      </c>
      <c r="G75" s="8">
        <f>VALUE(CONCATENATE("0",24.41))</f>
        <v>24.41</v>
      </c>
      <c r="H75" s="8">
        <f t="shared" si="11"/>
        <v>0</v>
      </c>
      <c r="I75" s="8">
        <f>VALUE(CONCATENATE("0",0))</f>
        <v>0</v>
      </c>
      <c r="J75" s="8">
        <f t="shared" si="12"/>
        <v>0</v>
      </c>
      <c r="K75" s="8">
        <f>VALUE(CONCATENATE("0",24.41))</f>
        <v>24.41</v>
      </c>
      <c r="L75" s="8">
        <f t="shared" si="9"/>
        <v>0</v>
      </c>
      <c r="M75" s="8">
        <f t="shared" ref="M75:N78" si="13">VALUE(CONCATENATE("0","0.000000"))</f>
        <v>0</v>
      </c>
      <c r="N75" s="8">
        <f t="shared" si="13"/>
        <v>0</v>
      </c>
      <c r="O75" s="7">
        <f>VALUE(CONCATENATE("0",24.41))+VALUE(CONCATENATE("0","0.000000"))-VALUE(CONCATENATE("0",0))-VALUE(CONCATENATE("0",0))-VALUE(CONCATENATE("0",0))-VALUE(CONCATENATE("0",24.41))-VALUE(CONCATENATE("0",0))-VALUE(CONCATENATE("0","0.000000"))</f>
        <v>0</v>
      </c>
      <c r="P75" s="6">
        <v>1</v>
      </c>
    </row>
    <row r="76" spans="1:16" ht="24.95" customHeight="1">
      <c r="A76" s="5" t="s">
        <v>740</v>
      </c>
      <c r="B76" s="10">
        <v>74</v>
      </c>
      <c r="C76" s="13" t="s">
        <v>739</v>
      </c>
      <c r="D76" s="9" t="s">
        <v>738</v>
      </c>
      <c r="E76" s="9" t="s">
        <v>66</v>
      </c>
      <c r="F76" s="9" t="s">
        <v>83</v>
      </c>
      <c r="G76" s="8">
        <f>VALUE(CONCATENATE("0",24.1))</f>
        <v>24.1</v>
      </c>
      <c r="H76" s="8">
        <f t="shared" si="11"/>
        <v>0</v>
      </c>
      <c r="I76" s="8">
        <f>VALUE(CONCATENATE("0",0))</f>
        <v>0</v>
      </c>
      <c r="J76" s="8">
        <f t="shared" si="12"/>
        <v>0</v>
      </c>
      <c r="K76" s="8">
        <f>VALUE(CONCATENATE("0",24.1))</f>
        <v>24.1</v>
      </c>
      <c r="L76" s="8">
        <f t="shared" si="9"/>
        <v>0</v>
      </c>
      <c r="M76" s="8">
        <f t="shared" si="13"/>
        <v>0</v>
      </c>
      <c r="N76" s="8">
        <f t="shared" si="13"/>
        <v>0</v>
      </c>
      <c r="O76" s="7">
        <f>VALUE(CONCATENATE("0",24.1))+VALUE(CONCATENATE("0","0.000000"))-VALUE(CONCATENATE("0",0))-VALUE(CONCATENATE("0",0))-VALUE(CONCATENATE("0",0))-VALUE(CONCATENATE("0",24.1))-VALUE(CONCATENATE("0",0))-VALUE(CONCATENATE("0","0.000000"))</f>
        <v>0</v>
      </c>
      <c r="P76" s="6">
        <v>1</v>
      </c>
    </row>
    <row r="77" spans="1:16" ht="29.1" customHeight="1">
      <c r="A77" s="5" t="s">
        <v>737</v>
      </c>
      <c r="B77" s="10">
        <v>75</v>
      </c>
      <c r="C77" s="13" t="s">
        <v>58</v>
      </c>
      <c r="D77" s="9" t="s">
        <v>736</v>
      </c>
      <c r="E77" s="9" t="s">
        <v>73</v>
      </c>
      <c r="F77" s="9" t="s">
        <v>83</v>
      </c>
      <c r="G77" s="8">
        <f>VALUE(CONCATENATE("0",23.58))</f>
        <v>23.58</v>
      </c>
      <c r="H77" s="8">
        <f t="shared" si="11"/>
        <v>0</v>
      </c>
      <c r="I77" s="8">
        <f>VALUE(CONCATENATE("0",0))</f>
        <v>0</v>
      </c>
      <c r="J77" s="8">
        <f t="shared" si="12"/>
        <v>0</v>
      </c>
      <c r="K77" s="8">
        <f>VALUE(CONCATENATE("0",23.58))</f>
        <v>23.58</v>
      </c>
      <c r="L77" s="8">
        <f t="shared" si="9"/>
        <v>0</v>
      </c>
      <c r="M77" s="8">
        <f t="shared" si="13"/>
        <v>0</v>
      </c>
      <c r="N77" s="8">
        <f t="shared" si="13"/>
        <v>0</v>
      </c>
      <c r="O77" s="7">
        <f>VALUE(CONCATENATE("0",23.58))+VALUE(CONCATENATE("0","0.000000"))-VALUE(CONCATENATE("0",0))-VALUE(CONCATENATE("0",0))-VALUE(CONCATENATE("0",0))-VALUE(CONCATENATE("0",23.58))-VALUE(CONCATENATE("0",0))-VALUE(CONCATENATE("0","0.000000"))</f>
        <v>0</v>
      </c>
      <c r="P77" s="6">
        <v>1</v>
      </c>
    </row>
    <row r="78" spans="1:16" ht="29.1" customHeight="1">
      <c r="A78" s="5" t="s">
        <v>735</v>
      </c>
      <c r="B78" s="10">
        <v>76</v>
      </c>
      <c r="C78" s="13" t="s">
        <v>12</v>
      </c>
      <c r="D78" s="9" t="s">
        <v>734</v>
      </c>
      <c r="E78" s="9" t="s">
        <v>69</v>
      </c>
      <c r="F78" s="9" t="s">
        <v>83</v>
      </c>
      <c r="G78" s="8">
        <f>VALUE(CONCATENATE("0",23.11558))</f>
        <v>23.115580000000001</v>
      </c>
      <c r="H78" s="8">
        <f t="shared" si="11"/>
        <v>0</v>
      </c>
      <c r="I78" s="8">
        <f>VALUE(CONCATENATE("0",0))</f>
        <v>0</v>
      </c>
      <c r="J78" s="8">
        <f t="shared" si="12"/>
        <v>0</v>
      </c>
      <c r="K78" s="8">
        <f>VALUE(CONCATENATE("0",23.11558))</f>
        <v>23.115580000000001</v>
      </c>
      <c r="L78" s="8">
        <f t="shared" si="9"/>
        <v>0</v>
      </c>
      <c r="M78" s="8">
        <f t="shared" si="13"/>
        <v>0</v>
      </c>
      <c r="N78" s="8">
        <f t="shared" si="13"/>
        <v>0</v>
      </c>
      <c r="O78" s="7">
        <f>VALUE(CONCATENATE("0",23.11558))+VALUE(CONCATENATE("0","0.000000"))-VALUE(CONCATENATE("0",0))-VALUE(CONCATENATE("0",0))-VALUE(CONCATENATE("0",0))-VALUE(CONCATENATE("0",23.11558))-VALUE(CONCATENATE("0",0))-VALUE(CONCATENATE("0","0.000000"))</f>
        <v>0</v>
      </c>
      <c r="P78" s="6">
        <v>1</v>
      </c>
    </row>
    <row r="79" spans="1:16" ht="24.95" customHeight="1">
      <c r="A79" s="5" t="s">
        <v>733</v>
      </c>
      <c r="B79" s="10">
        <v>77</v>
      </c>
      <c r="C79" s="13" t="s">
        <v>732</v>
      </c>
      <c r="D79" s="9" t="s">
        <v>731</v>
      </c>
      <c r="E79" s="9" t="s">
        <v>66</v>
      </c>
      <c r="F79" s="9" t="s">
        <v>83</v>
      </c>
      <c r="G79" s="8">
        <f>VALUE(CONCATENATE("0",22.17))</f>
        <v>22.17</v>
      </c>
      <c r="H79" s="8">
        <f t="shared" si="11"/>
        <v>0</v>
      </c>
      <c r="I79" s="8">
        <f>VALUE(CONCATENATE("0",0))</f>
        <v>0</v>
      </c>
      <c r="J79" s="8">
        <f t="shared" si="12"/>
        <v>0</v>
      </c>
      <c r="K79" s="8">
        <f>VALUE(CONCATENATE("0",35.84))</f>
        <v>35.840000000000003</v>
      </c>
      <c r="L79" s="8">
        <f t="shared" si="9"/>
        <v>0</v>
      </c>
      <c r="M79" s="8">
        <f>VALUE(CONCATENATE("0","0.000000"))</f>
        <v>0</v>
      </c>
      <c r="N79" s="8">
        <f>VALUE(CONCATENATE("0","13.670000"))</f>
        <v>13.67</v>
      </c>
      <c r="O79" s="7">
        <f>VALUE(CONCATENATE("0",22.17))+VALUE(CONCATENATE("0","13.670000"))-VALUE(CONCATENATE("0",0))-VALUE(CONCATENATE("0",0))-VALUE(CONCATENATE("0",0))-VALUE(CONCATENATE("0",35.84))-VALUE(CONCATENATE("0",0))-VALUE(CONCATENATE("0","0.000000"))</f>
        <v>0</v>
      </c>
      <c r="P79" s="6">
        <v>1</v>
      </c>
    </row>
    <row r="80" spans="1:16" ht="29.1" customHeight="1">
      <c r="A80" s="5" t="s">
        <v>730</v>
      </c>
      <c r="B80" s="10">
        <v>78</v>
      </c>
      <c r="C80" s="13" t="s">
        <v>729</v>
      </c>
      <c r="D80" s="9" t="s">
        <v>728</v>
      </c>
      <c r="E80" s="9" t="s">
        <v>96</v>
      </c>
      <c r="F80" s="9" t="s">
        <v>89</v>
      </c>
      <c r="G80" s="8">
        <f>VALUE(CONCATENATE("0",21.94))</f>
        <v>21.94</v>
      </c>
      <c r="H80" s="8">
        <f t="shared" si="11"/>
        <v>0</v>
      </c>
      <c r="I80" s="8">
        <f>VALUE(CONCATENATE("0",21.03))</f>
        <v>21.03</v>
      </c>
      <c r="J80" s="8">
        <f t="shared" si="12"/>
        <v>0</v>
      </c>
      <c r="K80" s="8">
        <f>VALUE(CONCATENATE("0",0.91))</f>
        <v>0.91</v>
      </c>
      <c r="L80" s="8">
        <f t="shared" si="9"/>
        <v>0</v>
      </c>
      <c r="M80" s="8">
        <f>VALUE(CONCATENATE("0","0.000000"))</f>
        <v>0</v>
      </c>
      <c r="N80" s="8">
        <f>VALUE(CONCATENATE("0","0.000000"))</f>
        <v>0</v>
      </c>
      <c r="O80" s="7">
        <f>VALUE(CONCATENATE("0",21.94))+VALUE(CONCATENATE("0","0.000000"))-VALUE(CONCATENATE("0",0))-VALUE(CONCATENATE("0",0))-VALUE(CONCATENATE("0",21.03))-VALUE(CONCATENATE("0",0.91))-VALUE(CONCATENATE("0",0))-VALUE(CONCATENATE("0","0.000000"))</f>
        <v>1.1102230246251565E-16</v>
      </c>
      <c r="P80" s="6">
        <v>1</v>
      </c>
    </row>
    <row r="81" spans="1:16" ht="29.1" customHeight="1">
      <c r="A81" s="5" t="s">
        <v>727</v>
      </c>
      <c r="B81" s="10">
        <v>79</v>
      </c>
      <c r="C81" s="13" t="s">
        <v>726</v>
      </c>
      <c r="D81" s="9" t="s">
        <v>725</v>
      </c>
      <c r="E81" s="9" t="s">
        <v>96</v>
      </c>
      <c r="F81" s="9" t="s">
        <v>307</v>
      </c>
      <c r="G81" s="8">
        <f>VALUE(CONCATENATE("0",18.69))</f>
        <v>18.690000000000001</v>
      </c>
      <c r="H81" s="8">
        <f t="shared" si="11"/>
        <v>0</v>
      </c>
      <c r="I81" s="8">
        <f>VALUE(CONCATENATE("0",16.83))</f>
        <v>16.829999999999998</v>
      </c>
      <c r="J81" s="8">
        <f t="shared" si="12"/>
        <v>0</v>
      </c>
      <c r="K81" s="8">
        <f>VALUE(CONCATENATE("0",2.1))</f>
        <v>2.1</v>
      </c>
      <c r="L81" s="8">
        <f t="shared" si="9"/>
        <v>0</v>
      </c>
      <c r="M81" s="8">
        <f>VALUE(CONCATENATE("0","0.640000"))</f>
        <v>0.64</v>
      </c>
      <c r="N81" s="8">
        <f>VALUE(CONCATENATE("0","0.880000"))</f>
        <v>0.88</v>
      </c>
      <c r="O81" s="7">
        <f>VALUE(CONCATENATE("0",18.69))+VALUE(CONCATENATE("0","0.880000"))-VALUE(CONCATENATE("0",0))-VALUE(CONCATENATE("0",0))-VALUE(CONCATENATE("0",16.83))-VALUE(CONCATENATE("0",2.1))-VALUE(CONCATENATE("0",0))-VALUE(CONCATENATE("0","0.640000"))</f>
        <v>1.8873791418627661E-15</v>
      </c>
      <c r="P81" s="6">
        <v>0.96729688298415939</v>
      </c>
    </row>
    <row r="82" spans="1:16" ht="24.95" customHeight="1">
      <c r="A82" s="5" t="s">
        <v>724</v>
      </c>
      <c r="B82" s="10">
        <v>80</v>
      </c>
      <c r="C82" s="13" t="s">
        <v>723</v>
      </c>
      <c r="D82" s="9" t="s">
        <v>722</v>
      </c>
      <c r="E82" s="9" t="s">
        <v>66</v>
      </c>
      <c r="F82" s="9" t="s">
        <v>83</v>
      </c>
      <c r="G82" s="8">
        <f>VALUE(CONCATENATE("0",18.1))</f>
        <v>18.100000000000001</v>
      </c>
      <c r="H82" s="8">
        <f t="shared" si="11"/>
        <v>0</v>
      </c>
      <c r="I82" s="8">
        <f>VALUE(CONCATENATE("0",0))</f>
        <v>0</v>
      </c>
      <c r="J82" s="8">
        <f t="shared" si="12"/>
        <v>0</v>
      </c>
      <c r="K82" s="8">
        <f>VALUE(CONCATENATE("0",0))</f>
        <v>0</v>
      </c>
      <c r="L82" s="8">
        <f t="shared" si="9"/>
        <v>0</v>
      </c>
      <c r="M82" s="8">
        <f>VALUE(CONCATENATE("0","18.100000"))</f>
        <v>18.100000000000001</v>
      </c>
      <c r="N82" s="8">
        <f>VALUE(CONCATENATE("0","0.000000"))</f>
        <v>0</v>
      </c>
      <c r="O82" s="7">
        <f>VALUE(CONCATENATE("0",18.1))+VALUE(CONCATENATE("0","0.000000"))-VALUE(CONCATENATE("0",0))-VALUE(CONCATENATE("0",0))-VALUE(CONCATENATE("0",0))-VALUE(CONCATENATE("0",0))-VALUE(CONCATENATE("0",0))-VALUE(CONCATENATE("0","18.100000"))</f>
        <v>0</v>
      </c>
      <c r="P82" s="6">
        <v>0</v>
      </c>
    </row>
    <row r="83" spans="1:16" ht="24.95" customHeight="1">
      <c r="A83" s="5" t="s">
        <v>721</v>
      </c>
      <c r="B83" s="10">
        <v>81</v>
      </c>
      <c r="C83" s="13" t="s">
        <v>720</v>
      </c>
      <c r="D83" s="9" t="s">
        <v>719</v>
      </c>
      <c r="E83" s="9" t="s">
        <v>65</v>
      </c>
      <c r="F83" s="9" t="s">
        <v>83</v>
      </c>
      <c r="G83" s="8">
        <f>VALUE(CONCATENATE("0",17.62))</f>
        <v>17.62</v>
      </c>
      <c r="H83" s="8">
        <f t="shared" si="11"/>
        <v>0</v>
      </c>
      <c r="I83" s="8">
        <f>VALUE(CONCATENATE("0",25.55))</f>
        <v>25.55</v>
      </c>
      <c r="J83" s="8">
        <f t="shared" si="12"/>
        <v>0</v>
      </c>
      <c r="K83" s="8">
        <f>VALUE(CONCATENATE("0",0))</f>
        <v>0</v>
      </c>
      <c r="L83" s="8">
        <f t="shared" si="9"/>
        <v>0</v>
      </c>
      <c r="M83" s="8">
        <f>VALUE(CONCATENATE("0","0.000000"))</f>
        <v>0</v>
      </c>
      <c r="N83" s="8">
        <f>VALUE(CONCATENATE("0","7.930000"))</f>
        <v>7.93</v>
      </c>
      <c r="O83" s="7">
        <f>VALUE(CONCATENATE("0",17.62))+VALUE(CONCATENATE("0","7.930000"))-VALUE(CONCATENATE("0",0))-VALUE(CONCATENATE("0",0))-VALUE(CONCATENATE("0",25.55))-VALUE(CONCATENATE("0",0))-VALUE(CONCATENATE("0",0))-VALUE(CONCATENATE("0","0.000000"))</f>
        <v>0</v>
      </c>
      <c r="P83" s="6">
        <v>1</v>
      </c>
    </row>
    <row r="84" spans="1:16" ht="29.1" customHeight="1">
      <c r="A84" s="5" t="s">
        <v>718</v>
      </c>
      <c r="B84" s="10">
        <v>82</v>
      </c>
      <c r="C84" s="13" t="s">
        <v>717</v>
      </c>
      <c r="D84" s="9" t="s">
        <v>716</v>
      </c>
      <c r="E84" s="9" t="s">
        <v>65</v>
      </c>
      <c r="F84" s="9" t="s">
        <v>147</v>
      </c>
      <c r="G84" s="8">
        <f>VALUE(CONCATENATE("0",17.4))</f>
        <v>17.399999999999999</v>
      </c>
      <c r="H84" s="8">
        <f t="shared" si="11"/>
        <v>0</v>
      </c>
      <c r="I84" s="8">
        <f>VALUE(CONCATENATE("0",29.18))</f>
        <v>29.18</v>
      </c>
      <c r="J84" s="8">
        <f t="shared" si="12"/>
        <v>0</v>
      </c>
      <c r="K84" s="8">
        <f>VALUE(CONCATENATE("0",0))</f>
        <v>0</v>
      </c>
      <c r="L84" s="8">
        <f t="shared" si="9"/>
        <v>0</v>
      </c>
      <c r="M84" s="8">
        <f>VALUE(CONCATENATE("0","0.000000"))</f>
        <v>0</v>
      </c>
      <c r="N84" s="8">
        <f>VALUE(CONCATENATE("0","11.780000"))</f>
        <v>11.78</v>
      </c>
      <c r="O84" s="7">
        <f>VALUE(CONCATENATE("0",17.4))+VALUE(CONCATENATE("0","11.780000"))-VALUE(CONCATENATE("0",0))-VALUE(CONCATENATE("0",0))-VALUE(CONCATENATE("0",29.18))-VALUE(CONCATENATE("0",0))-VALUE(CONCATENATE("0",0))-VALUE(CONCATENATE("0","0.000000"))</f>
        <v>0</v>
      </c>
      <c r="P84" s="6">
        <v>1</v>
      </c>
    </row>
    <row r="85" spans="1:16" ht="29.1" customHeight="1">
      <c r="A85" s="5" t="s">
        <v>715</v>
      </c>
      <c r="B85" s="10">
        <v>83</v>
      </c>
      <c r="C85" s="13" t="s">
        <v>714</v>
      </c>
      <c r="D85" s="9" t="s">
        <v>713</v>
      </c>
      <c r="E85" s="9" t="s">
        <v>65</v>
      </c>
      <c r="F85" s="9" t="s">
        <v>147</v>
      </c>
      <c r="G85" s="8">
        <f>VALUE(CONCATENATE("0",16.84))</f>
        <v>16.84</v>
      </c>
      <c r="H85" s="8">
        <f t="shared" si="11"/>
        <v>0</v>
      </c>
      <c r="I85" s="8">
        <f>VALUE(CONCATENATE("0",0))</f>
        <v>0</v>
      </c>
      <c r="J85" s="8">
        <f t="shared" si="12"/>
        <v>0</v>
      </c>
      <c r="K85" s="8">
        <f>VALUE(CONCATENATE("0",0))</f>
        <v>0</v>
      </c>
      <c r="L85" s="8">
        <f t="shared" si="9"/>
        <v>0</v>
      </c>
      <c r="M85" s="8">
        <f>VALUE(CONCATENATE("0","26.060000"))</f>
        <v>26.06</v>
      </c>
      <c r="N85" s="8">
        <f>VALUE(CONCATENATE("0","9.220000"))</f>
        <v>9.2200000000000006</v>
      </c>
      <c r="O85" s="7">
        <f>VALUE(CONCATENATE("0",16.84))+VALUE(CONCATENATE("0","9.220000"))-VALUE(CONCATENATE("0",0))-VALUE(CONCATENATE("0",0))-VALUE(CONCATENATE("0",0))-VALUE(CONCATENATE("0",0))-VALUE(CONCATENATE("0",0))-VALUE(CONCATENATE("0","26.060000"))</f>
        <v>0</v>
      </c>
      <c r="P85" s="6">
        <v>0</v>
      </c>
    </row>
    <row r="86" spans="1:16" ht="29.1" customHeight="1">
      <c r="A86" s="5" t="s">
        <v>712</v>
      </c>
      <c r="B86" s="10">
        <v>84</v>
      </c>
      <c r="C86" s="13" t="s">
        <v>711</v>
      </c>
      <c r="D86" s="9" t="s">
        <v>710</v>
      </c>
      <c r="E86" s="9" t="s">
        <v>69</v>
      </c>
      <c r="F86" s="9" t="s">
        <v>83</v>
      </c>
      <c r="G86" s="8">
        <f>VALUE(CONCATENATE("0",16.64))</f>
        <v>16.64</v>
      </c>
      <c r="H86" s="8">
        <f t="shared" si="11"/>
        <v>0</v>
      </c>
      <c r="I86" s="8">
        <f>VALUE(CONCATENATE("0",0))</f>
        <v>0</v>
      </c>
      <c r="J86" s="8">
        <f t="shared" si="12"/>
        <v>0</v>
      </c>
      <c r="K86" s="8">
        <f>VALUE(CONCATENATE("0",16.64))</f>
        <v>16.64</v>
      </c>
      <c r="L86" s="8">
        <f t="shared" si="9"/>
        <v>0</v>
      </c>
      <c r="M86" s="8">
        <f>VALUE(CONCATENATE("0","0.000000"))</f>
        <v>0</v>
      </c>
      <c r="N86" s="8">
        <f>VALUE(CONCATENATE("0","0.000000"))</f>
        <v>0</v>
      </c>
      <c r="O86" s="7">
        <f>VALUE(CONCATENATE("0",16.64))+VALUE(CONCATENATE("0","0.000000"))-VALUE(CONCATENATE("0",0))-VALUE(CONCATENATE("0",0))-VALUE(CONCATENATE("0",0))-VALUE(CONCATENATE("0",16.64))-VALUE(CONCATENATE("0",0))-VALUE(CONCATENATE("0","0.000000"))</f>
        <v>0</v>
      </c>
      <c r="P86" s="6">
        <v>1</v>
      </c>
    </row>
    <row r="87" spans="1:16" ht="24.95" customHeight="1">
      <c r="A87" s="5" t="s">
        <v>709</v>
      </c>
      <c r="B87" s="10">
        <v>85</v>
      </c>
      <c r="C87" s="13" t="s">
        <v>708</v>
      </c>
      <c r="D87" s="9" t="s">
        <v>707</v>
      </c>
      <c r="E87" s="9" t="s">
        <v>65</v>
      </c>
      <c r="F87" s="9" t="s">
        <v>83</v>
      </c>
      <c r="G87" s="8">
        <f>VALUE(CONCATENATE("0",16.32))</f>
        <v>16.32</v>
      </c>
      <c r="H87" s="8">
        <f t="shared" si="11"/>
        <v>0</v>
      </c>
      <c r="I87" s="8">
        <f>VALUE(CONCATENATE("0",16.32))</f>
        <v>16.32</v>
      </c>
      <c r="J87" s="8">
        <f t="shared" si="12"/>
        <v>0</v>
      </c>
      <c r="K87" s="8">
        <f>VALUE(CONCATENATE("0",0))</f>
        <v>0</v>
      </c>
      <c r="L87" s="8">
        <f t="shared" si="9"/>
        <v>0</v>
      </c>
      <c r="M87" s="8">
        <f>VALUE(CONCATENATE("0","0.000000"))</f>
        <v>0</v>
      </c>
      <c r="N87" s="8">
        <f>VALUE(CONCATENATE("0","0.000000"))</f>
        <v>0</v>
      </c>
      <c r="O87" s="7">
        <f>VALUE(CONCATENATE("0",16.32))+VALUE(CONCATENATE("0","0.000000"))-VALUE(CONCATENATE("0",0))-VALUE(CONCATENATE("0",0))-VALUE(CONCATENATE("0",16.32))-VALUE(CONCATENATE("0",0))-VALUE(CONCATENATE("0",0))-VALUE(CONCATENATE("0","0.000000"))</f>
        <v>0</v>
      </c>
      <c r="P87" s="6">
        <v>1</v>
      </c>
    </row>
    <row r="88" spans="1:16" ht="29.1" customHeight="1">
      <c r="A88" s="5" t="s">
        <v>706</v>
      </c>
      <c r="B88" s="10">
        <v>86</v>
      </c>
      <c r="C88" s="13" t="s">
        <v>705</v>
      </c>
      <c r="D88" s="9" t="s">
        <v>704</v>
      </c>
      <c r="E88" s="9" t="s">
        <v>65</v>
      </c>
      <c r="F88" s="9" t="s">
        <v>382</v>
      </c>
      <c r="G88" s="8">
        <f>VALUE(CONCATENATE("0",16))</f>
        <v>16</v>
      </c>
      <c r="H88" s="8">
        <f t="shared" si="11"/>
        <v>0</v>
      </c>
      <c r="I88" s="8">
        <f>VALUE(CONCATENATE("0",13.92))</f>
        <v>13.92</v>
      </c>
      <c r="J88" s="8">
        <f t="shared" si="12"/>
        <v>0</v>
      </c>
      <c r="K88" s="8">
        <f>VALUE(CONCATENATE("0",0))</f>
        <v>0</v>
      </c>
      <c r="L88" s="8">
        <f t="shared" si="9"/>
        <v>0</v>
      </c>
      <c r="M88" s="8">
        <f>VALUE(CONCATENATE("0","2.080000"))</f>
        <v>2.08</v>
      </c>
      <c r="N88" s="8">
        <f t="shared" ref="N88:N95" si="14">VALUE(CONCATENATE("0","0.000000"))</f>
        <v>0</v>
      </c>
      <c r="O88" s="7">
        <f>VALUE(CONCATENATE("0",16))+VALUE(CONCATENATE("0","0.000000"))-VALUE(CONCATENATE("0",0))-VALUE(CONCATENATE("0",0))-VALUE(CONCATENATE("0",13.92))-VALUE(CONCATENATE("0",0))-VALUE(CONCATENATE("0",0))-VALUE(CONCATENATE("0","2.080000"))</f>
        <v>0</v>
      </c>
      <c r="P88" s="6">
        <v>0.87</v>
      </c>
    </row>
    <row r="89" spans="1:16" ht="24.95" customHeight="1">
      <c r="A89" s="5" t="s">
        <v>703</v>
      </c>
      <c r="B89" s="10">
        <v>87</v>
      </c>
      <c r="C89" s="13" t="s">
        <v>702</v>
      </c>
      <c r="D89" s="9" t="s">
        <v>701</v>
      </c>
      <c r="E89" s="9" t="s">
        <v>66</v>
      </c>
      <c r="F89" s="9" t="s">
        <v>83</v>
      </c>
      <c r="G89" s="8">
        <f>VALUE(CONCATENATE("0",15.905))</f>
        <v>15.904999999999999</v>
      </c>
      <c r="H89" s="8">
        <f t="shared" si="11"/>
        <v>0</v>
      </c>
      <c r="I89" s="8">
        <f>VALUE(CONCATENATE("0",0))</f>
        <v>0</v>
      </c>
      <c r="J89" s="8">
        <f t="shared" si="12"/>
        <v>0</v>
      </c>
      <c r="K89" s="8">
        <f>VALUE(CONCATENATE("0",13.805))</f>
        <v>13.805</v>
      </c>
      <c r="L89" s="8">
        <f t="shared" si="9"/>
        <v>0</v>
      </c>
      <c r="M89" s="8">
        <f>VALUE(CONCATENATE("0","2.100000"))</f>
        <v>2.1</v>
      </c>
      <c r="N89" s="8">
        <f t="shared" si="14"/>
        <v>0</v>
      </c>
      <c r="O89" s="7">
        <f>VALUE(CONCATENATE("0",15.905))+VALUE(CONCATENATE("0","0.000000"))-VALUE(CONCATENATE("0",0))-VALUE(CONCATENATE("0",0))-VALUE(CONCATENATE("0",0))-VALUE(CONCATENATE("0",13.805))-VALUE(CONCATENATE("0",0))-VALUE(CONCATENATE("0","2.100000"))</f>
        <v>0</v>
      </c>
      <c r="P89" s="6">
        <v>0.86796604841244895</v>
      </c>
    </row>
    <row r="90" spans="1:16" ht="29.1" customHeight="1">
      <c r="A90" s="5" t="s">
        <v>700</v>
      </c>
      <c r="B90" s="10">
        <v>88</v>
      </c>
      <c r="C90" s="13" t="s">
        <v>699</v>
      </c>
      <c r="D90" s="9" t="s">
        <v>698</v>
      </c>
      <c r="E90" s="9" t="s">
        <v>65</v>
      </c>
      <c r="F90" s="9" t="s">
        <v>147</v>
      </c>
      <c r="G90" s="8">
        <f>VALUE(CONCATENATE("0",15))</f>
        <v>15</v>
      </c>
      <c r="H90" s="8">
        <f t="shared" si="11"/>
        <v>0</v>
      </c>
      <c r="I90" s="8">
        <f>VALUE(CONCATENATE("0",11.98))</f>
        <v>11.98</v>
      </c>
      <c r="J90" s="8">
        <f t="shared" si="12"/>
        <v>0</v>
      </c>
      <c r="K90" s="8">
        <f>VALUE(CONCATENATE("0",0))</f>
        <v>0</v>
      </c>
      <c r="L90" s="8">
        <f t="shared" si="9"/>
        <v>0</v>
      </c>
      <c r="M90" s="8">
        <f>VALUE(CONCATENATE("0","3.020000"))</f>
        <v>3.02</v>
      </c>
      <c r="N90" s="8">
        <f t="shared" si="14"/>
        <v>0</v>
      </c>
      <c r="O90" s="7">
        <f>VALUE(CONCATENATE("0",15))+VALUE(CONCATENATE("0","0.000000"))-VALUE(CONCATENATE("0",0))-VALUE(CONCATENATE("0",0))-VALUE(CONCATENATE("0",11.98))-VALUE(CONCATENATE("0",0))-VALUE(CONCATENATE("0",0))-VALUE(CONCATENATE("0","3.020000"))</f>
        <v>0</v>
      </c>
      <c r="P90" s="6">
        <v>0.79866666666666675</v>
      </c>
    </row>
    <row r="91" spans="1:16" ht="29.1" customHeight="1">
      <c r="A91" s="5" t="s">
        <v>697</v>
      </c>
      <c r="B91" s="10">
        <v>89</v>
      </c>
      <c r="C91" s="13" t="s">
        <v>696</v>
      </c>
      <c r="D91" s="9" t="s">
        <v>695</v>
      </c>
      <c r="E91" s="9" t="s">
        <v>65</v>
      </c>
      <c r="F91" s="9" t="s">
        <v>220</v>
      </c>
      <c r="G91" s="8">
        <f>VALUE(CONCATENATE("0",14.52))</f>
        <v>14.52</v>
      </c>
      <c r="H91" s="8">
        <f>VALUE(CONCATENATE("0",4.24))</f>
        <v>4.24</v>
      </c>
      <c r="I91" s="8">
        <f>VALUE(CONCATENATE("0",0))</f>
        <v>0</v>
      </c>
      <c r="J91" s="8">
        <f t="shared" si="12"/>
        <v>0</v>
      </c>
      <c r="K91" s="8">
        <f>VALUE(CONCATENATE("0",7.19))</f>
        <v>7.19</v>
      </c>
      <c r="L91" s="8">
        <f t="shared" si="9"/>
        <v>0</v>
      </c>
      <c r="M91" s="8">
        <f>VALUE(CONCATENATE("0","3.090000"))</f>
        <v>3.09</v>
      </c>
      <c r="N91" s="8">
        <f t="shared" si="14"/>
        <v>0</v>
      </c>
      <c r="O91" s="7">
        <f>VALUE(CONCATENATE("0",14.52))+VALUE(CONCATENATE("0","0.000000"))-VALUE(CONCATENATE("0",4.24))-VALUE(CONCATENATE("0",0))-VALUE(CONCATENATE("0",0))-VALUE(CONCATENATE("0",7.19))-VALUE(CONCATENATE("0",0))-VALUE(CONCATENATE("0","3.090000"))</f>
        <v>0</v>
      </c>
      <c r="P91" s="6">
        <v>0.78719008264462809</v>
      </c>
    </row>
    <row r="92" spans="1:16" ht="29.1" customHeight="1">
      <c r="A92" s="5" t="s">
        <v>694</v>
      </c>
      <c r="B92" s="10">
        <v>90</v>
      </c>
      <c r="C92" s="13" t="s">
        <v>693</v>
      </c>
      <c r="D92" s="9" t="s">
        <v>692</v>
      </c>
      <c r="E92" s="9" t="s">
        <v>96</v>
      </c>
      <c r="F92" s="9" t="s">
        <v>89</v>
      </c>
      <c r="G92" s="8">
        <f>VALUE(CONCATENATE("0",14.28))</f>
        <v>14.28</v>
      </c>
      <c r="H92" s="8">
        <f t="shared" ref="H92:H102" si="15">VALUE(CONCATENATE("0",0))</f>
        <v>0</v>
      </c>
      <c r="I92" s="8">
        <f>VALUE(CONCATENATE("0",14.28))</f>
        <v>14.28</v>
      </c>
      <c r="J92" s="8">
        <f t="shared" si="12"/>
        <v>0</v>
      </c>
      <c r="K92" s="8">
        <f>VALUE(CONCATENATE("0",0))</f>
        <v>0</v>
      </c>
      <c r="L92" s="8">
        <f t="shared" si="9"/>
        <v>0</v>
      </c>
      <c r="M92" s="8">
        <f>VALUE(CONCATENATE("0","0.000000"))</f>
        <v>0</v>
      </c>
      <c r="N92" s="8">
        <f t="shared" si="14"/>
        <v>0</v>
      </c>
      <c r="O92" s="7">
        <f>VALUE(CONCATENATE("0",14.28))+VALUE(CONCATENATE("0","0.000000"))-VALUE(CONCATENATE("0",0))-VALUE(CONCATENATE("0",0))-VALUE(CONCATENATE("0",14.28))-VALUE(CONCATENATE("0",0))-VALUE(CONCATENATE("0",0))-VALUE(CONCATENATE("0","0.000000"))</f>
        <v>0</v>
      </c>
      <c r="P92" s="6">
        <v>1</v>
      </c>
    </row>
    <row r="93" spans="1:16" ht="29.1" customHeight="1">
      <c r="A93" s="5" t="s">
        <v>691</v>
      </c>
      <c r="B93" s="10">
        <v>91</v>
      </c>
      <c r="C93" s="13" t="s">
        <v>690</v>
      </c>
      <c r="D93" s="9" t="s">
        <v>689</v>
      </c>
      <c r="E93" s="9" t="s">
        <v>73</v>
      </c>
      <c r="F93" s="9" t="s">
        <v>89</v>
      </c>
      <c r="G93" s="8">
        <f>VALUE(CONCATENATE("0",13.64))</f>
        <v>13.64</v>
      </c>
      <c r="H93" s="8">
        <f t="shared" si="15"/>
        <v>0</v>
      </c>
      <c r="I93" s="8">
        <f>VALUE(CONCATENATE("0",13.64))</f>
        <v>13.64</v>
      </c>
      <c r="J93" s="8">
        <f t="shared" si="12"/>
        <v>0</v>
      </c>
      <c r="K93" s="8">
        <f>VALUE(CONCATENATE("0",0))</f>
        <v>0</v>
      </c>
      <c r="L93" s="8">
        <f t="shared" si="9"/>
        <v>0</v>
      </c>
      <c r="M93" s="8">
        <f>VALUE(CONCATENATE("0","0.000000"))</f>
        <v>0</v>
      </c>
      <c r="N93" s="8">
        <f t="shared" si="14"/>
        <v>0</v>
      </c>
      <c r="O93" s="7">
        <f>VALUE(CONCATENATE("0",13.64))+VALUE(CONCATENATE("0","0.000000"))-VALUE(CONCATENATE("0",0))-VALUE(CONCATENATE("0",0))-VALUE(CONCATENATE("0",13.64))-VALUE(CONCATENATE("0",0))-VALUE(CONCATENATE("0",0))-VALUE(CONCATENATE("0","0.000000"))</f>
        <v>0</v>
      </c>
      <c r="P93" s="6">
        <v>1</v>
      </c>
    </row>
    <row r="94" spans="1:16" ht="29.1" customHeight="1">
      <c r="A94" s="5" t="s">
        <v>688</v>
      </c>
      <c r="B94" s="10">
        <v>92</v>
      </c>
      <c r="C94" s="13" t="s">
        <v>687</v>
      </c>
      <c r="D94" s="9" t="s">
        <v>686</v>
      </c>
      <c r="E94" s="9" t="s">
        <v>65</v>
      </c>
      <c r="F94" s="9" t="s">
        <v>83</v>
      </c>
      <c r="G94" s="8">
        <f>VALUE(CONCATENATE("0",13.23))</f>
        <v>13.23</v>
      </c>
      <c r="H94" s="8">
        <f t="shared" si="15"/>
        <v>0</v>
      </c>
      <c r="I94" s="8">
        <f>VALUE(CONCATENATE("0",0))</f>
        <v>0</v>
      </c>
      <c r="J94" s="8">
        <f t="shared" si="12"/>
        <v>0</v>
      </c>
      <c r="K94" s="8">
        <f>VALUE(CONCATENATE("0",13.23))</f>
        <v>13.23</v>
      </c>
      <c r="L94" s="8">
        <f t="shared" si="9"/>
        <v>0</v>
      </c>
      <c r="M94" s="8">
        <f>VALUE(CONCATENATE("0","0.000000"))</f>
        <v>0</v>
      </c>
      <c r="N94" s="8">
        <f t="shared" si="14"/>
        <v>0</v>
      </c>
      <c r="O94" s="7">
        <f>VALUE(CONCATENATE("0",13.23))+VALUE(CONCATENATE("0","0.000000"))-VALUE(CONCATENATE("0",0))-VALUE(CONCATENATE("0",0))-VALUE(CONCATENATE("0",0))-VALUE(CONCATENATE("0",13.23))-VALUE(CONCATENATE("0",0))-VALUE(CONCATENATE("0","0.000000"))</f>
        <v>0</v>
      </c>
      <c r="P94" s="6">
        <v>1</v>
      </c>
    </row>
    <row r="95" spans="1:16" ht="29.1" customHeight="1">
      <c r="A95" s="5" t="s">
        <v>685</v>
      </c>
      <c r="B95" s="10">
        <v>93</v>
      </c>
      <c r="C95" s="13" t="s">
        <v>684</v>
      </c>
      <c r="D95" s="9" t="s">
        <v>683</v>
      </c>
      <c r="E95" s="9" t="s">
        <v>96</v>
      </c>
      <c r="F95" s="9" t="s">
        <v>80</v>
      </c>
      <c r="G95" s="8">
        <f>VALUE(CONCATENATE("0",13.04))</f>
        <v>13.04</v>
      </c>
      <c r="H95" s="8">
        <f t="shared" si="15"/>
        <v>0</v>
      </c>
      <c r="I95" s="8">
        <f>VALUE(CONCATENATE("0",0))</f>
        <v>0</v>
      </c>
      <c r="J95" s="8">
        <f t="shared" si="12"/>
        <v>0</v>
      </c>
      <c r="K95" s="8">
        <f>VALUE(CONCATENATE("0",13.04))</f>
        <v>13.04</v>
      </c>
      <c r="L95" s="8">
        <f t="shared" si="9"/>
        <v>0</v>
      </c>
      <c r="M95" s="8">
        <f>VALUE(CONCATENATE("0","0.000000"))</f>
        <v>0</v>
      </c>
      <c r="N95" s="8">
        <f t="shared" si="14"/>
        <v>0</v>
      </c>
      <c r="O95" s="7">
        <f>VALUE(CONCATENATE("0",13.04))+VALUE(CONCATENATE("0","0.000000"))-VALUE(CONCATENATE("0",0))-VALUE(CONCATENATE("0",0))-VALUE(CONCATENATE("0",0))-VALUE(CONCATENATE("0",13.04))-VALUE(CONCATENATE("0",0))-VALUE(CONCATENATE("0","0.000000"))</f>
        <v>0</v>
      </c>
      <c r="P95" s="6">
        <v>1</v>
      </c>
    </row>
    <row r="96" spans="1:16" ht="24.95" customHeight="1">
      <c r="A96" s="5" t="s">
        <v>682</v>
      </c>
      <c r="B96" s="10">
        <v>94</v>
      </c>
      <c r="C96" s="13" t="s">
        <v>681</v>
      </c>
      <c r="D96" s="9" t="s">
        <v>680</v>
      </c>
      <c r="E96" s="9" t="s">
        <v>66</v>
      </c>
      <c r="F96" s="9" t="s">
        <v>83</v>
      </c>
      <c r="G96" s="8">
        <f>VALUE(CONCATENATE("0",13))</f>
        <v>13</v>
      </c>
      <c r="H96" s="8">
        <f t="shared" si="15"/>
        <v>0</v>
      </c>
      <c r="I96" s="8">
        <f>VALUE(CONCATENATE("0",12.84))</f>
        <v>12.84</v>
      </c>
      <c r="J96" s="8">
        <f t="shared" si="12"/>
        <v>0</v>
      </c>
      <c r="K96" s="8">
        <f>VALUE(CONCATENATE("0",0))</f>
        <v>0</v>
      </c>
      <c r="L96" s="8">
        <f t="shared" si="9"/>
        <v>0</v>
      </c>
      <c r="M96" s="8">
        <f>VALUE(CONCATENATE("0","1.560000"))</f>
        <v>1.56</v>
      </c>
      <c r="N96" s="8">
        <f>VALUE(CONCATENATE("0","1.400000"))</f>
        <v>1.4</v>
      </c>
      <c r="O96" s="7">
        <f>VALUE(CONCATENATE("0",13))+VALUE(CONCATENATE("0","1.400000"))-VALUE(CONCATENATE("0",0))-VALUE(CONCATENATE("0",0))-VALUE(CONCATENATE("0",12.84))-VALUE(CONCATENATE("0",0))-VALUE(CONCATENATE("0",0))-VALUE(CONCATENATE("0","1.560000"))</f>
        <v>0</v>
      </c>
      <c r="P96" s="6">
        <v>0.89166666666666661</v>
      </c>
    </row>
    <row r="97" spans="1:16" ht="24.95" customHeight="1">
      <c r="A97" s="5" t="s">
        <v>679</v>
      </c>
      <c r="B97" s="10">
        <v>95</v>
      </c>
      <c r="C97" s="13" t="s">
        <v>678</v>
      </c>
      <c r="D97" s="9" t="s">
        <v>677</v>
      </c>
      <c r="E97" s="9" t="s">
        <v>66</v>
      </c>
      <c r="F97" s="9" t="s">
        <v>83</v>
      </c>
      <c r="G97" s="8">
        <f>VALUE(CONCATENATE("0",12.8))</f>
        <v>12.8</v>
      </c>
      <c r="H97" s="8">
        <f t="shared" si="15"/>
        <v>0</v>
      </c>
      <c r="I97" s="8">
        <f>VALUE(CONCATENATE("0",0))</f>
        <v>0</v>
      </c>
      <c r="J97" s="8">
        <f t="shared" si="12"/>
        <v>0</v>
      </c>
      <c r="K97" s="8">
        <f>VALUE(CONCATENATE("0",19.38))</f>
        <v>19.38</v>
      </c>
      <c r="L97" s="8">
        <f t="shared" si="9"/>
        <v>0</v>
      </c>
      <c r="M97" s="8">
        <f>VALUE(CONCATENATE("0","0.000000"))</f>
        <v>0</v>
      </c>
      <c r="N97" s="8">
        <f>VALUE(CONCATENATE("0","6.580000"))</f>
        <v>6.58</v>
      </c>
      <c r="O97" s="7">
        <f>VALUE(CONCATENATE("0",12.8))+VALUE(CONCATENATE("0","6.580000"))-VALUE(CONCATENATE("0",0))-VALUE(CONCATENATE("0",0))-VALUE(CONCATENATE("0",0))-VALUE(CONCATENATE("0",19.38))-VALUE(CONCATENATE("0",0))-VALUE(CONCATENATE("0","0.000000"))</f>
        <v>3.5527136788005009E-15</v>
      </c>
      <c r="P97" s="6">
        <v>1</v>
      </c>
    </row>
    <row r="98" spans="1:16" ht="29.1" customHeight="1">
      <c r="A98" s="5" t="s">
        <v>676</v>
      </c>
      <c r="B98" s="10">
        <v>96</v>
      </c>
      <c r="C98" s="13" t="s">
        <v>23</v>
      </c>
      <c r="D98" s="9" t="s">
        <v>675</v>
      </c>
      <c r="E98" s="9" t="s">
        <v>66</v>
      </c>
      <c r="F98" s="9" t="s">
        <v>80</v>
      </c>
      <c r="G98" s="8">
        <f>VALUE(CONCATENATE("0",12.5))</f>
        <v>12.5</v>
      </c>
      <c r="H98" s="8">
        <f t="shared" si="15"/>
        <v>0</v>
      </c>
      <c r="I98" s="8">
        <f>VALUE(CONCATENATE("0",12.5))</f>
        <v>12.5</v>
      </c>
      <c r="J98" s="8">
        <f t="shared" si="12"/>
        <v>0</v>
      </c>
      <c r="K98" s="8">
        <f>VALUE(CONCATENATE("0",0))</f>
        <v>0</v>
      </c>
      <c r="L98" s="8">
        <f t="shared" si="9"/>
        <v>0</v>
      </c>
      <c r="M98" s="8">
        <f>VALUE(CONCATENATE("0","0.000000"))</f>
        <v>0</v>
      </c>
      <c r="N98" s="8">
        <f>VALUE(CONCATENATE("0","0.000000"))</f>
        <v>0</v>
      </c>
      <c r="O98" s="7">
        <f>VALUE(CONCATENATE("0",12.5))+VALUE(CONCATENATE("0","0.000000"))-VALUE(CONCATENATE("0",0))-VALUE(CONCATENATE("0",0))-VALUE(CONCATENATE("0",12.5))-VALUE(CONCATENATE("0",0))-VALUE(CONCATENATE("0",0))-VALUE(CONCATENATE("0","0.000000"))</f>
        <v>0</v>
      </c>
      <c r="P98" s="6">
        <v>1</v>
      </c>
    </row>
    <row r="99" spans="1:16" ht="29.1" customHeight="1">
      <c r="A99" s="5" t="s">
        <v>674</v>
      </c>
      <c r="B99" s="10">
        <v>97</v>
      </c>
      <c r="C99" s="13" t="s">
        <v>673</v>
      </c>
      <c r="D99" s="9" t="s">
        <v>672</v>
      </c>
      <c r="E99" s="9" t="s">
        <v>65</v>
      </c>
      <c r="F99" s="9" t="s">
        <v>83</v>
      </c>
      <c r="G99" s="8">
        <f>VALUE(CONCATENATE("0",12.4))</f>
        <v>12.4</v>
      </c>
      <c r="H99" s="8">
        <f t="shared" si="15"/>
        <v>0</v>
      </c>
      <c r="I99" s="8">
        <f>VALUE(CONCATENATE("0",28.75))</f>
        <v>28.75</v>
      </c>
      <c r="J99" s="8">
        <f t="shared" si="12"/>
        <v>0</v>
      </c>
      <c r="K99" s="8">
        <f>VALUE(CONCATENATE("0",0))</f>
        <v>0</v>
      </c>
      <c r="L99" s="8">
        <f t="shared" ref="L99:L108" si="16">VALUE(CONCATENATE("0",0))</f>
        <v>0</v>
      </c>
      <c r="M99" s="8">
        <f>VALUE(CONCATENATE("0","0.000000"))</f>
        <v>0</v>
      </c>
      <c r="N99" s="8">
        <f>VALUE(CONCATENATE("0","16.350000"))</f>
        <v>16.350000000000001</v>
      </c>
      <c r="O99" s="7">
        <f>VALUE(CONCATENATE("0",12.4))+VALUE(CONCATENATE("0","16.350000"))-VALUE(CONCATENATE("0",0))-VALUE(CONCATENATE("0",0))-VALUE(CONCATENATE("0",28.75))-VALUE(CONCATENATE("0",0))-VALUE(CONCATENATE("0",0))-VALUE(CONCATENATE("0","0.000000"))</f>
        <v>0</v>
      </c>
      <c r="P99" s="6">
        <v>1</v>
      </c>
    </row>
    <row r="100" spans="1:16" ht="29.1" customHeight="1">
      <c r="A100" s="5" t="s">
        <v>671</v>
      </c>
      <c r="B100" s="10">
        <v>98</v>
      </c>
      <c r="C100" s="13" t="s">
        <v>670</v>
      </c>
      <c r="D100" s="9" t="s">
        <v>669</v>
      </c>
      <c r="E100" s="9" t="s">
        <v>96</v>
      </c>
      <c r="F100" s="9" t="s">
        <v>89</v>
      </c>
      <c r="G100" s="8">
        <f>VALUE(CONCATENATE("0",12.195))</f>
        <v>12.195</v>
      </c>
      <c r="H100" s="8">
        <f t="shared" si="15"/>
        <v>0</v>
      </c>
      <c r="I100" s="8">
        <f>VALUE(CONCATENATE("0",11.73))</f>
        <v>11.73</v>
      </c>
      <c r="J100" s="8">
        <f t="shared" si="12"/>
        <v>0</v>
      </c>
      <c r="K100" s="8">
        <f>VALUE(CONCATENATE("0",0.465))</f>
        <v>0.46500000000000002</v>
      </c>
      <c r="L100" s="8">
        <f t="shared" si="16"/>
        <v>0</v>
      </c>
      <c r="M100" s="8">
        <f>VALUE(CONCATENATE("0","0.000000"))</f>
        <v>0</v>
      </c>
      <c r="N100" s="8">
        <f>VALUE(CONCATENATE("0","0.000000"))</f>
        <v>0</v>
      </c>
      <c r="O100" s="7">
        <f>VALUE(CONCATENATE("0",12.195))+VALUE(CONCATENATE("0","0.000000"))-VALUE(CONCATENATE("0",0))-VALUE(CONCATENATE("0",0))-VALUE(CONCATENATE("0",11.73))-VALUE(CONCATENATE("0",0.465))-VALUE(CONCATENATE("0",0))-VALUE(CONCATENATE("0","0.000000"))</f>
        <v>-1.6653345369377348E-16</v>
      </c>
      <c r="P100" s="6">
        <v>1</v>
      </c>
    </row>
    <row r="101" spans="1:16" ht="29.1" customHeight="1">
      <c r="A101" s="5" t="s">
        <v>668</v>
      </c>
      <c r="B101" s="10">
        <v>99</v>
      </c>
      <c r="C101" s="13" t="s">
        <v>667</v>
      </c>
      <c r="D101" s="9" t="s">
        <v>666</v>
      </c>
      <c r="E101" s="9" t="s">
        <v>96</v>
      </c>
      <c r="F101" s="9" t="s">
        <v>307</v>
      </c>
      <c r="G101" s="8">
        <f>VALUE(CONCATENATE("0",11.88))</f>
        <v>11.88</v>
      </c>
      <c r="H101" s="8">
        <f t="shared" si="15"/>
        <v>0</v>
      </c>
      <c r="I101" s="8">
        <f>VALUE(CONCATENATE("0",10.88))</f>
        <v>10.88</v>
      </c>
      <c r="J101" s="8">
        <f t="shared" si="12"/>
        <v>0</v>
      </c>
      <c r="K101" s="8">
        <f>VALUE(CONCATENATE("0",1))</f>
        <v>1</v>
      </c>
      <c r="L101" s="8">
        <f t="shared" si="16"/>
        <v>0</v>
      </c>
      <c r="M101" s="8">
        <f>VALUE(CONCATENATE("0","0.000000"))</f>
        <v>0</v>
      </c>
      <c r="N101" s="8">
        <f>VALUE(CONCATENATE("0","0.000000"))</f>
        <v>0</v>
      </c>
      <c r="O101" s="7">
        <f>VALUE(CONCATENATE("0",11.88))+VALUE(CONCATENATE("0","0.000000"))-VALUE(CONCATENATE("0",0))-VALUE(CONCATENATE("0",0))-VALUE(CONCATENATE("0",10.88))-VALUE(CONCATENATE("0",1))-VALUE(CONCATENATE("0",0))-VALUE(CONCATENATE("0","0.000000"))</f>
        <v>0</v>
      </c>
      <c r="P101" s="6">
        <v>1</v>
      </c>
    </row>
    <row r="102" spans="1:16" ht="24.95" customHeight="1">
      <c r="A102" s="5" t="s">
        <v>665</v>
      </c>
      <c r="B102" s="10">
        <v>100</v>
      </c>
      <c r="C102" s="13" t="s">
        <v>62</v>
      </c>
      <c r="D102" s="9" t="s">
        <v>664</v>
      </c>
      <c r="E102" s="9" t="s">
        <v>67</v>
      </c>
      <c r="F102" s="9" t="s">
        <v>83</v>
      </c>
      <c r="G102" s="8">
        <f>VALUE(CONCATENATE("0",11.4504))</f>
        <v>11.4504</v>
      </c>
      <c r="H102" s="8">
        <f t="shared" si="15"/>
        <v>0</v>
      </c>
      <c r="I102" s="8">
        <f>VALUE(CONCATENATE("0",0))</f>
        <v>0</v>
      </c>
      <c r="J102" s="8">
        <f t="shared" si="12"/>
        <v>0</v>
      </c>
      <c r="K102" s="8">
        <f>VALUE(CONCATENATE("0",11.1631))</f>
        <v>11.1631</v>
      </c>
      <c r="L102" s="8">
        <f t="shared" si="16"/>
        <v>0</v>
      </c>
      <c r="M102" s="8">
        <f>VALUE(CONCATENATE("0","6.627100"))</f>
        <v>6.6271000000000004</v>
      </c>
      <c r="N102" s="8">
        <f>VALUE(CONCATENATE("0","6.339800"))</f>
        <v>6.3398000000000003</v>
      </c>
      <c r="O102" s="7">
        <f>VALUE(CONCATENATE("0",11.4504))+VALUE(CONCATENATE("0","6.339800"))-VALUE(CONCATENATE("0",0))-VALUE(CONCATENATE("0",0))-VALUE(CONCATENATE("0",0))-VALUE(CONCATENATE("0",11.1631))-VALUE(CONCATENATE("0",0))-VALUE(CONCATENATE("0","6.627100"))</f>
        <v>0</v>
      </c>
      <c r="P102" s="6">
        <v>0.62748591921394925</v>
      </c>
    </row>
    <row r="103" spans="1:16" ht="24.95" customHeight="1">
      <c r="A103" s="5" t="s">
        <v>663</v>
      </c>
      <c r="B103" s="10">
        <v>101</v>
      </c>
      <c r="C103" s="13" t="s">
        <v>662</v>
      </c>
      <c r="D103" s="9" t="s">
        <v>661</v>
      </c>
      <c r="E103" s="9" t="s">
        <v>65</v>
      </c>
      <c r="F103" s="9" t="s">
        <v>83</v>
      </c>
      <c r="G103" s="8">
        <f>VALUE(CONCATENATE("0",11.34))</f>
        <v>11.34</v>
      </c>
      <c r="H103" s="8">
        <f>VALUE(CONCATENATE("0",4.54))</f>
        <v>4.54</v>
      </c>
      <c r="I103" s="8">
        <f>VALUE(CONCATENATE("0",6.8))</f>
        <v>6.8</v>
      </c>
      <c r="J103" s="8">
        <f t="shared" si="12"/>
        <v>0</v>
      </c>
      <c r="K103" s="8">
        <f>VALUE(CONCATENATE("0",0))</f>
        <v>0</v>
      </c>
      <c r="L103" s="8">
        <f t="shared" si="16"/>
        <v>0</v>
      </c>
      <c r="M103" s="8">
        <f>VALUE(CONCATENATE("0","0.000000"))</f>
        <v>0</v>
      </c>
      <c r="N103" s="8">
        <f>VALUE(CONCATENATE("0","0.000000"))</f>
        <v>0</v>
      </c>
      <c r="O103" s="7">
        <f>VALUE(CONCATENATE("0",11.34))+VALUE(CONCATENATE("0","0.000000"))-VALUE(CONCATENATE("0",4.54))-VALUE(CONCATENATE("0",0))-VALUE(CONCATENATE("0",6.8))-VALUE(CONCATENATE("0",0))-VALUE(CONCATENATE("0",0))-VALUE(CONCATENATE("0","0.000000"))</f>
        <v>0</v>
      </c>
      <c r="P103" s="6">
        <v>1</v>
      </c>
    </row>
    <row r="104" spans="1:16" ht="29.1" customHeight="1">
      <c r="A104" s="5" t="s">
        <v>660</v>
      </c>
      <c r="B104" s="10">
        <v>102</v>
      </c>
      <c r="C104" s="13" t="s">
        <v>659</v>
      </c>
      <c r="D104" s="9" t="s">
        <v>658</v>
      </c>
      <c r="E104" s="9" t="s">
        <v>96</v>
      </c>
      <c r="F104" s="9" t="s">
        <v>89</v>
      </c>
      <c r="G104" s="8">
        <f>VALUE(CONCATENATE("0",11.19))</f>
        <v>11.19</v>
      </c>
      <c r="H104" s="8">
        <f t="shared" ref="H104:H135" si="17">VALUE(CONCATENATE("0",0))</f>
        <v>0</v>
      </c>
      <c r="I104" s="8">
        <f>VALUE(CONCATENATE("0",11.19))</f>
        <v>11.19</v>
      </c>
      <c r="J104" s="8">
        <f t="shared" si="12"/>
        <v>0</v>
      </c>
      <c r="K104" s="8">
        <f>VALUE(CONCATENATE("0",0))</f>
        <v>0</v>
      </c>
      <c r="L104" s="8">
        <f t="shared" si="16"/>
        <v>0</v>
      </c>
      <c r="M104" s="8">
        <f>VALUE(CONCATENATE("0","0.000000"))</f>
        <v>0</v>
      </c>
      <c r="N104" s="8">
        <f>VALUE(CONCATENATE("0","0.000000"))</f>
        <v>0</v>
      </c>
      <c r="O104" s="7">
        <f>VALUE(CONCATENATE("0",11.19))+VALUE(CONCATENATE("0","0.000000"))-VALUE(CONCATENATE("0",0))-VALUE(CONCATENATE("0",0))-VALUE(CONCATENATE("0",11.19))-VALUE(CONCATENATE("0",0))-VALUE(CONCATENATE("0",0))-VALUE(CONCATENATE("0","0.000000"))</f>
        <v>0</v>
      </c>
      <c r="P104" s="6">
        <v>1</v>
      </c>
    </row>
    <row r="105" spans="1:16" ht="29.1" customHeight="1">
      <c r="A105" s="5" t="s">
        <v>657</v>
      </c>
      <c r="B105" s="10">
        <v>103</v>
      </c>
      <c r="C105" s="13" t="s">
        <v>656</v>
      </c>
      <c r="D105" s="9" t="s">
        <v>655</v>
      </c>
      <c r="E105" s="9" t="s">
        <v>73</v>
      </c>
      <c r="F105" s="9" t="s">
        <v>83</v>
      </c>
      <c r="G105" s="8">
        <f>VALUE(CONCATENATE("0",10.89))</f>
        <v>10.89</v>
      </c>
      <c r="H105" s="8">
        <f t="shared" si="17"/>
        <v>0</v>
      </c>
      <c r="I105" s="8">
        <f>VALUE(CONCATENATE("0",0))</f>
        <v>0</v>
      </c>
      <c r="J105" s="8">
        <f t="shared" si="12"/>
        <v>0</v>
      </c>
      <c r="K105" s="8">
        <f>VALUE(CONCATENATE("0",16.4))</f>
        <v>16.399999999999999</v>
      </c>
      <c r="L105" s="8">
        <f t="shared" si="16"/>
        <v>0</v>
      </c>
      <c r="M105" s="8">
        <f>VALUE(CONCATENATE("0","2.090000"))</f>
        <v>2.09</v>
      </c>
      <c r="N105" s="8">
        <f>VALUE(CONCATENATE("0","7.600000"))</f>
        <v>7.6</v>
      </c>
      <c r="O105" s="7">
        <f>VALUE(CONCATENATE("0",10.89))+VALUE(CONCATENATE("0","7.600000"))-VALUE(CONCATENATE("0",0))-VALUE(CONCATENATE("0",0))-VALUE(CONCATENATE("0",0))-VALUE(CONCATENATE("0",16.4))-VALUE(CONCATENATE("0",0))-VALUE(CONCATENATE("0","2.090000"))</f>
        <v>3.5527136788005009E-15</v>
      </c>
      <c r="P105" s="6">
        <v>0.88696592752839376</v>
      </c>
    </row>
    <row r="106" spans="1:16" ht="29.1" customHeight="1">
      <c r="A106" s="5" t="s">
        <v>654</v>
      </c>
      <c r="B106" s="10">
        <v>104</v>
      </c>
      <c r="C106" s="13" t="s">
        <v>653</v>
      </c>
      <c r="D106" s="9" t="s">
        <v>652</v>
      </c>
      <c r="E106" s="9" t="s">
        <v>65</v>
      </c>
      <c r="F106" s="9" t="s">
        <v>382</v>
      </c>
      <c r="G106" s="8">
        <f>VALUE(CONCATENATE("0",10.635))</f>
        <v>10.635</v>
      </c>
      <c r="H106" s="8">
        <f t="shared" si="17"/>
        <v>0</v>
      </c>
      <c r="I106" s="8">
        <f>VALUE(CONCATENATE("0",10.635))</f>
        <v>10.635</v>
      </c>
      <c r="J106" s="8">
        <f t="shared" si="12"/>
        <v>0</v>
      </c>
      <c r="K106" s="8">
        <f>VALUE(CONCATENATE("0",0))</f>
        <v>0</v>
      </c>
      <c r="L106" s="8">
        <f t="shared" si="16"/>
        <v>0</v>
      </c>
      <c r="M106" s="8">
        <f>VALUE(CONCATENATE("0","0.000000"))</f>
        <v>0</v>
      </c>
      <c r="N106" s="8">
        <f>VALUE(CONCATENATE("0","0.000000"))</f>
        <v>0</v>
      </c>
      <c r="O106" s="7">
        <f>VALUE(CONCATENATE("0",10.635))+VALUE(CONCATENATE("0","0.000000"))-VALUE(CONCATENATE("0",0))-VALUE(CONCATENATE("0",0))-VALUE(CONCATENATE("0",10.635))-VALUE(CONCATENATE("0",0))-VALUE(CONCATENATE("0",0))-VALUE(CONCATENATE("0","0.000000"))</f>
        <v>0</v>
      </c>
      <c r="P106" s="6">
        <v>1</v>
      </c>
    </row>
    <row r="107" spans="1:16" ht="29.1" customHeight="1">
      <c r="A107" s="5" t="s">
        <v>651</v>
      </c>
      <c r="B107" s="10">
        <v>105</v>
      </c>
      <c r="C107" s="13" t="s">
        <v>650</v>
      </c>
      <c r="D107" s="9" t="s">
        <v>649</v>
      </c>
      <c r="E107" s="9" t="s">
        <v>65</v>
      </c>
      <c r="F107" s="9" t="s">
        <v>83</v>
      </c>
      <c r="G107" s="8">
        <f>VALUE(CONCATENATE("0",10.58))</f>
        <v>10.58</v>
      </c>
      <c r="H107" s="8">
        <f t="shared" si="17"/>
        <v>0</v>
      </c>
      <c r="I107" s="8">
        <f>VALUE(CONCATENATE("0",0))</f>
        <v>0</v>
      </c>
      <c r="J107" s="8">
        <f t="shared" si="12"/>
        <v>0</v>
      </c>
      <c r="K107" s="8">
        <f>VALUE(CONCATENATE("0",14.06))</f>
        <v>14.06</v>
      </c>
      <c r="L107" s="8">
        <f t="shared" si="16"/>
        <v>0</v>
      </c>
      <c r="M107" s="8">
        <f>VALUE(CONCATENATE("0","6.020000"))</f>
        <v>6.02</v>
      </c>
      <c r="N107" s="8">
        <f>VALUE(CONCATENATE("0","9.500000"))</f>
        <v>9.5</v>
      </c>
      <c r="O107" s="7">
        <f>VALUE(CONCATENATE("0",10.58))+VALUE(CONCATENATE("0","9.500000"))-VALUE(CONCATENATE("0",0))-VALUE(CONCATENATE("0",0))-VALUE(CONCATENATE("0",0))-VALUE(CONCATENATE("0",14.06))-VALUE(CONCATENATE("0",0))-VALUE(CONCATENATE("0","6.020000"))</f>
        <v>0</v>
      </c>
      <c r="P107" s="6">
        <v>0.70019920318725104</v>
      </c>
    </row>
    <row r="108" spans="1:16" ht="24.95" customHeight="1">
      <c r="A108" s="5" t="s">
        <v>648</v>
      </c>
      <c r="B108" s="10">
        <v>106</v>
      </c>
      <c r="C108" s="13" t="s">
        <v>647</v>
      </c>
      <c r="D108" s="9" t="s">
        <v>646</v>
      </c>
      <c r="E108" s="9" t="s">
        <v>69</v>
      </c>
      <c r="F108" s="9" t="s">
        <v>83</v>
      </c>
      <c r="G108" s="8">
        <f>VALUE(CONCATENATE("0",10.36))</f>
        <v>10.36</v>
      </c>
      <c r="H108" s="8">
        <f t="shared" si="17"/>
        <v>0</v>
      </c>
      <c r="I108" s="8">
        <f>VALUE(CONCATENATE("0",10.36))</f>
        <v>10.36</v>
      </c>
      <c r="J108" s="8">
        <f t="shared" si="12"/>
        <v>0</v>
      </c>
      <c r="K108" s="8">
        <f>VALUE(CONCATENATE("0",0))</f>
        <v>0</v>
      </c>
      <c r="L108" s="8">
        <f t="shared" si="16"/>
        <v>0</v>
      </c>
      <c r="M108" s="8">
        <f>VALUE(CONCATENATE("0","0.000000"))</f>
        <v>0</v>
      </c>
      <c r="N108" s="8">
        <f>VALUE(CONCATENATE("0","0.000000"))</f>
        <v>0</v>
      </c>
      <c r="O108" s="7">
        <f>VALUE(CONCATENATE("0",10.36))+VALUE(CONCATENATE("0","0.000000"))-VALUE(CONCATENATE("0",0))-VALUE(CONCATENATE("0",0))-VALUE(CONCATENATE("0",10.36))-VALUE(CONCATENATE("0",0))-VALUE(CONCATENATE("0",0))-VALUE(CONCATENATE("0","0.000000"))</f>
        <v>0</v>
      </c>
      <c r="P108" s="6">
        <v>1</v>
      </c>
    </row>
    <row r="109" spans="1:16" ht="29.1" customHeight="1">
      <c r="A109" s="5" t="s">
        <v>645</v>
      </c>
      <c r="B109" s="10">
        <v>107</v>
      </c>
      <c r="C109" s="13" t="s">
        <v>644</v>
      </c>
      <c r="D109" s="9" t="s">
        <v>643</v>
      </c>
      <c r="E109" s="9" t="s">
        <v>65</v>
      </c>
      <c r="F109" s="9" t="s">
        <v>140</v>
      </c>
      <c r="G109" s="8">
        <f>VALUE(CONCATENATE("0",10.02))</f>
        <v>10.02</v>
      </c>
      <c r="H109" s="8">
        <f t="shared" si="17"/>
        <v>0</v>
      </c>
      <c r="I109" s="8">
        <f>VALUE(CONCATENATE("0",0))</f>
        <v>0</v>
      </c>
      <c r="J109" s="8">
        <f t="shared" si="12"/>
        <v>0</v>
      </c>
      <c r="K109" s="8">
        <f>VALUE(CONCATENATE("0",0))</f>
        <v>0</v>
      </c>
      <c r="L109" s="8">
        <f>VALUE(CONCATENATE("0",10.02))</f>
        <v>10.02</v>
      </c>
      <c r="M109" s="8">
        <f>VALUE(CONCATENATE("0","0.000000"))</f>
        <v>0</v>
      </c>
      <c r="N109" s="8">
        <f>VALUE(CONCATENATE("0","0.000000"))</f>
        <v>0</v>
      </c>
      <c r="O109" s="7">
        <f>VALUE(CONCATENATE("0",10.02))+VALUE(CONCATENATE("0","0.000000"))-VALUE(CONCATENATE("0",0))-VALUE(CONCATENATE("0",0))-VALUE(CONCATENATE("0",0))-VALUE(CONCATENATE("0",0))-VALUE(CONCATENATE("0",10.02))-VALUE(CONCATENATE("0","0.000000"))</f>
        <v>0</v>
      </c>
      <c r="P109" s="6">
        <v>0</v>
      </c>
    </row>
    <row r="110" spans="1:16" ht="24.95" customHeight="1">
      <c r="A110" s="5" t="s">
        <v>642</v>
      </c>
      <c r="B110" s="10">
        <v>108</v>
      </c>
      <c r="C110" s="13" t="s">
        <v>641</v>
      </c>
      <c r="D110" s="9" t="s">
        <v>640</v>
      </c>
      <c r="E110" s="9" t="s">
        <v>73</v>
      </c>
      <c r="F110" s="9" t="s">
        <v>83</v>
      </c>
      <c r="G110" s="8">
        <f>VALUE(CONCATENATE("0",9.3))</f>
        <v>9.3000000000000007</v>
      </c>
      <c r="H110" s="8">
        <f t="shared" si="17"/>
        <v>0</v>
      </c>
      <c r="I110" s="8">
        <f>VALUE(CONCATENATE("0",9))</f>
        <v>9</v>
      </c>
      <c r="J110" s="8">
        <f t="shared" si="12"/>
        <v>0</v>
      </c>
      <c r="K110" s="8">
        <f>VALUE(CONCATENATE("0",0))</f>
        <v>0</v>
      </c>
      <c r="L110" s="8">
        <f t="shared" ref="L110:L136" si="18">VALUE(CONCATENATE("0",0))</f>
        <v>0</v>
      </c>
      <c r="M110" s="8">
        <f>VALUE(CONCATENATE("0","0.300000"))</f>
        <v>0.3</v>
      </c>
      <c r="N110" s="8">
        <f>VALUE(CONCATENATE("0","0.000000"))</f>
        <v>0</v>
      </c>
      <c r="O110" s="7">
        <f>VALUE(CONCATENATE("0",9.3))+VALUE(CONCATENATE("0","0.000000"))-VALUE(CONCATENATE("0",0))-VALUE(CONCATENATE("0",0))-VALUE(CONCATENATE("0",9))-VALUE(CONCATENATE("0",0))-VALUE(CONCATENATE("0",0))-VALUE(CONCATENATE("0","0.300000"))</f>
        <v>7.2164496600635175E-16</v>
      </c>
      <c r="P110" s="6">
        <v>0.96774193548387089</v>
      </c>
    </row>
    <row r="111" spans="1:16" ht="29.1" customHeight="1">
      <c r="A111" s="5" t="s">
        <v>639</v>
      </c>
      <c r="B111" s="10">
        <v>109</v>
      </c>
      <c r="C111" s="13" t="s">
        <v>638</v>
      </c>
      <c r="D111" s="9" t="s">
        <v>637</v>
      </c>
      <c r="E111" s="9" t="s">
        <v>96</v>
      </c>
      <c r="F111" s="9" t="s">
        <v>89</v>
      </c>
      <c r="G111" s="8">
        <f>VALUE(CONCATENATE("0",9.2))</f>
        <v>9.1999999999999993</v>
      </c>
      <c r="H111" s="8">
        <f t="shared" si="17"/>
        <v>0</v>
      </c>
      <c r="I111" s="8">
        <f>VALUE(CONCATENATE("0",9.2))</f>
        <v>9.1999999999999993</v>
      </c>
      <c r="J111" s="8">
        <f t="shared" si="12"/>
        <v>0</v>
      </c>
      <c r="K111" s="8">
        <f>VALUE(CONCATENATE("0",0))</f>
        <v>0</v>
      </c>
      <c r="L111" s="8">
        <f t="shared" si="18"/>
        <v>0</v>
      </c>
      <c r="M111" s="8">
        <f>VALUE(CONCATENATE("0","0.000000"))</f>
        <v>0</v>
      </c>
      <c r="N111" s="8">
        <f>VALUE(CONCATENATE("0","0.000000"))</f>
        <v>0</v>
      </c>
      <c r="O111" s="7">
        <f>VALUE(CONCATENATE("0",9.2))+VALUE(CONCATENATE("0","0.000000"))-VALUE(CONCATENATE("0",0))-VALUE(CONCATENATE("0",0))-VALUE(CONCATENATE("0",9.2))-VALUE(CONCATENATE("0",0))-VALUE(CONCATENATE("0",0))-VALUE(CONCATENATE("0","0.000000"))</f>
        <v>0</v>
      </c>
      <c r="P111" s="6">
        <v>1</v>
      </c>
    </row>
    <row r="112" spans="1:16" ht="24.95" customHeight="1">
      <c r="A112" s="5" t="s">
        <v>636</v>
      </c>
      <c r="B112" s="10">
        <v>110</v>
      </c>
      <c r="C112" s="13" t="s">
        <v>635</v>
      </c>
      <c r="D112" s="9" t="s">
        <v>634</v>
      </c>
      <c r="E112" s="9" t="s">
        <v>65</v>
      </c>
      <c r="F112" s="9" t="s">
        <v>83</v>
      </c>
      <c r="G112" s="8">
        <f>VALUE(CONCATENATE("0",9.12))</f>
        <v>9.1199999999999992</v>
      </c>
      <c r="H112" s="8">
        <f t="shared" si="17"/>
        <v>0</v>
      </c>
      <c r="I112" s="8">
        <f>VALUE(CONCATENATE("0",7.5))</f>
        <v>7.5</v>
      </c>
      <c r="J112" s="8">
        <f t="shared" si="12"/>
        <v>0</v>
      </c>
      <c r="K112" s="8">
        <f>VALUE(CONCATENATE("0",1.62))</f>
        <v>1.62</v>
      </c>
      <c r="L112" s="8">
        <f t="shared" si="18"/>
        <v>0</v>
      </c>
      <c r="M112" s="8">
        <f>VALUE(CONCATENATE("0","0.000000"))</f>
        <v>0</v>
      </c>
      <c r="N112" s="8">
        <f>VALUE(CONCATENATE("0","0.000000"))</f>
        <v>0</v>
      </c>
      <c r="O112" s="7">
        <f>VALUE(CONCATENATE("0",9.12))+VALUE(CONCATENATE("0","0.000000"))-VALUE(CONCATENATE("0",0))-VALUE(CONCATENATE("0",0))-VALUE(CONCATENATE("0",7.5))-VALUE(CONCATENATE("0",1.62))-VALUE(CONCATENATE("0",0))-VALUE(CONCATENATE("0","0.000000"))</f>
        <v>-8.8817841970012523E-16</v>
      </c>
      <c r="P112" s="6">
        <v>1</v>
      </c>
    </row>
    <row r="113" spans="1:16" ht="24.95" customHeight="1">
      <c r="A113" s="5" t="s">
        <v>633</v>
      </c>
      <c r="B113" s="10">
        <v>111</v>
      </c>
      <c r="C113" s="13" t="s">
        <v>632</v>
      </c>
      <c r="D113" s="9" t="s">
        <v>631</v>
      </c>
      <c r="E113" s="9" t="s">
        <v>96</v>
      </c>
      <c r="F113" s="9" t="s">
        <v>83</v>
      </c>
      <c r="G113" s="8">
        <f>VALUE(CONCATENATE("0",9))</f>
        <v>9</v>
      </c>
      <c r="H113" s="8">
        <f t="shared" si="17"/>
        <v>0</v>
      </c>
      <c r="I113" s="8">
        <f>VALUE(CONCATENATE("0",9))</f>
        <v>9</v>
      </c>
      <c r="J113" s="8">
        <f t="shared" si="12"/>
        <v>0</v>
      </c>
      <c r="K113" s="8">
        <f>VALUE(CONCATENATE("0",0))</f>
        <v>0</v>
      </c>
      <c r="L113" s="8">
        <f t="shared" si="18"/>
        <v>0</v>
      </c>
      <c r="M113" s="8">
        <f>VALUE(CONCATENATE("0","0.000000"))</f>
        <v>0</v>
      </c>
      <c r="N113" s="8">
        <f>VALUE(CONCATENATE("0","0.000000"))</f>
        <v>0</v>
      </c>
      <c r="O113" s="7">
        <f>VALUE(CONCATENATE("0",9))+VALUE(CONCATENATE("0","0.000000"))-VALUE(CONCATENATE("0",0))-VALUE(CONCATENATE("0",0))-VALUE(CONCATENATE("0",9))-VALUE(CONCATENATE("0",0))-VALUE(CONCATENATE("0",0))-VALUE(CONCATENATE("0","0.000000"))</f>
        <v>0</v>
      </c>
      <c r="P113" s="6">
        <v>1</v>
      </c>
    </row>
    <row r="114" spans="1:16" ht="29.1" customHeight="1">
      <c r="A114" s="5" t="s">
        <v>630</v>
      </c>
      <c r="B114" s="10">
        <v>112</v>
      </c>
      <c r="C114" s="13" t="s">
        <v>629</v>
      </c>
      <c r="D114" s="9" t="s">
        <v>628</v>
      </c>
      <c r="E114" s="9" t="s">
        <v>65</v>
      </c>
      <c r="F114" s="9" t="s">
        <v>83</v>
      </c>
      <c r="G114" s="8">
        <f>VALUE(CONCATENATE("0",8.8))</f>
        <v>8.8000000000000007</v>
      </c>
      <c r="H114" s="8">
        <f t="shared" si="17"/>
        <v>0</v>
      </c>
      <c r="I114" s="8">
        <f>VALUE(CONCATENATE("0",8.44))</f>
        <v>8.44</v>
      </c>
      <c r="J114" s="8">
        <f t="shared" si="12"/>
        <v>0</v>
      </c>
      <c r="K114" s="8">
        <f>VALUE(CONCATENATE("0",0))</f>
        <v>0</v>
      </c>
      <c r="L114" s="8">
        <f t="shared" si="18"/>
        <v>0</v>
      </c>
      <c r="M114" s="8">
        <f>VALUE(CONCATENATE("0","2.145000"))</f>
        <v>2.145</v>
      </c>
      <c r="N114" s="8">
        <f>VALUE(CONCATENATE("0","1.785000"))</f>
        <v>1.7849999999999999</v>
      </c>
      <c r="O114" s="7">
        <f>VALUE(CONCATENATE("0",8.8))+VALUE(CONCATENATE("0","1.785000"))-VALUE(CONCATENATE("0",0))-VALUE(CONCATENATE("0",0))-VALUE(CONCATENATE("0",8.44))-VALUE(CONCATENATE("0",0))-VALUE(CONCATENATE("0",0))-VALUE(CONCATENATE("0","2.145000"))</f>
        <v>0</v>
      </c>
      <c r="P114" s="6">
        <v>0.79735474728389222</v>
      </c>
    </row>
    <row r="115" spans="1:16" ht="24.95" customHeight="1">
      <c r="A115" s="5" t="s">
        <v>627</v>
      </c>
      <c r="B115" s="10">
        <v>113</v>
      </c>
      <c r="C115" s="13" t="s">
        <v>626</v>
      </c>
      <c r="D115" s="9" t="s">
        <v>625</v>
      </c>
      <c r="E115" s="9" t="s">
        <v>96</v>
      </c>
      <c r="F115" s="9" t="s">
        <v>83</v>
      </c>
      <c r="G115" s="8">
        <f>VALUE(CONCATENATE("0",8.5))</f>
        <v>8.5</v>
      </c>
      <c r="H115" s="8">
        <f t="shared" si="17"/>
        <v>0</v>
      </c>
      <c r="I115" s="8">
        <f>VALUE(CONCATENATE("0",0))</f>
        <v>0</v>
      </c>
      <c r="J115" s="8">
        <f t="shared" si="12"/>
        <v>0</v>
      </c>
      <c r="K115" s="8">
        <f>VALUE(CONCATENATE("0",8.5))</f>
        <v>8.5</v>
      </c>
      <c r="L115" s="8">
        <f t="shared" si="18"/>
        <v>0</v>
      </c>
      <c r="M115" s="8">
        <f>VALUE(CONCATENATE("0","8.200000"))</f>
        <v>8.1999999999999993</v>
      </c>
      <c r="N115" s="8">
        <f>VALUE(CONCATENATE("0","8.200000"))</f>
        <v>8.1999999999999993</v>
      </c>
      <c r="O115" s="7">
        <f>VALUE(CONCATENATE("0",8.5))+VALUE(CONCATENATE("0","8.200000"))-VALUE(CONCATENATE("0",0))-VALUE(CONCATENATE("0",0))-VALUE(CONCATENATE("0",0))-VALUE(CONCATENATE("0",8.5))-VALUE(CONCATENATE("0",0))-VALUE(CONCATENATE("0","8.200000"))</f>
        <v>0</v>
      </c>
      <c r="P115" s="6">
        <v>0.50898203592814373</v>
      </c>
    </row>
    <row r="116" spans="1:16" ht="29.1" customHeight="1">
      <c r="A116" s="5" t="s">
        <v>624</v>
      </c>
      <c r="B116" s="10">
        <v>114</v>
      </c>
      <c r="C116" s="13" t="s">
        <v>623</v>
      </c>
      <c r="D116" s="9" t="s">
        <v>203</v>
      </c>
      <c r="E116" s="9" t="s">
        <v>96</v>
      </c>
      <c r="F116" s="9" t="s">
        <v>83</v>
      </c>
      <c r="G116" s="8">
        <f>VALUE(CONCATENATE("0",8.21))</f>
        <v>8.2100000000000009</v>
      </c>
      <c r="H116" s="8">
        <f t="shared" si="17"/>
        <v>0</v>
      </c>
      <c r="I116" s="8">
        <f>VALUE(CONCATENATE("0",0))</f>
        <v>0</v>
      </c>
      <c r="J116" s="8">
        <f t="shared" si="12"/>
        <v>0</v>
      </c>
      <c r="K116" s="8">
        <f>VALUE(CONCATENATE("0",8.21))</f>
        <v>8.2100000000000009</v>
      </c>
      <c r="L116" s="8">
        <f t="shared" si="18"/>
        <v>0</v>
      </c>
      <c r="M116" s="8">
        <f>VALUE(CONCATENATE("0","0.000000"))</f>
        <v>0</v>
      </c>
      <c r="N116" s="8">
        <f>VALUE(CONCATENATE("0","0.000000"))</f>
        <v>0</v>
      </c>
      <c r="O116" s="7">
        <f>VALUE(CONCATENATE("0",8.21))+VALUE(CONCATENATE("0","0.000000"))-VALUE(CONCATENATE("0",0))-VALUE(CONCATENATE("0",0))-VALUE(CONCATENATE("0",0))-VALUE(CONCATENATE("0",8.21))-VALUE(CONCATENATE("0",0))-VALUE(CONCATENATE("0","0.000000"))</f>
        <v>0</v>
      </c>
      <c r="P116" s="6">
        <v>1</v>
      </c>
    </row>
    <row r="117" spans="1:16" ht="24.95" customHeight="1">
      <c r="A117" s="5" t="s">
        <v>622</v>
      </c>
      <c r="B117" s="10">
        <v>115</v>
      </c>
      <c r="C117" s="13" t="s">
        <v>621</v>
      </c>
      <c r="D117" s="9" t="s">
        <v>620</v>
      </c>
      <c r="E117" s="9" t="s">
        <v>73</v>
      </c>
      <c r="F117" s="9" t="s">
        <v>89</v>
      </c>
      <c r="G117" s="8">
        <f>VALUE(CONCATENATE("0",8.16))</f>
        <v>8.16</v>
      </c>
      <c r="H117" s="8">
        <f t="shared" si="17"/>
        <v>0</v>
      </c>
      <c r="I117" s="8">
        <f>VALUE(CONCATENATE("0",8.16))</f>
        <v>8.16</v>
      </c>
      <c r="J117" s="8">
        <f t="shared" si="12"/>
        <v>0</v>
      </c>
      <c r="K117" s="8">
        <f>VALUE(CONCATENATE("0",0))</f>
        <v>0</v>
      </c>
      <c r="L117" s="8">
        <f t="shared" si="18"/>
        <v>0</v>
      </c>
      <c r="M117" s="8">
        <f>VALUE(CONCATENATE("0","0.000000"))</f>
        <v>0</v>
      </c>
      <c r="N117" s="8">
        <f>VALUE(CONCATENATE("0","0.000000"))</f>
        <v>0</v>
      </c>
      <c r="O117" s="7">
        <f>VALUE(CONCATENATE("0",8.16))+VALUE(CONCATENATE("0","0.000000"))-VALUE(CONCATENATE("0",0))-VALUE(CONCATENATE("0",0))-VALUE(CONCATENATE("0",8.16))-VALUE(CONCATENATE("0",0))-VALUE(CONCATENATE("0",0))-VALUE(CONCATENATE("0","0.000000"))</f>
        <v>0</v>
      </c>
      <c r="P117" s="6">
        <v>1</v>
      </c>
    </row>
    <row r="118" spans="1:16" ht="24.95" customHeight="1">
      <c r="A118" s="5" t="s">
        <v>619</v>
      </c>
      <c r="B118" s="10">
        <v>116</v>
      </c>
      <c r="C118" s="13" t="s">
        <v>618</v>
      </c>
      <c r="D118" s="9" t="s">
        <v>617</v>
      </c>
      <c r="E118" s="9" t="s">
        <v>73</v>
      </c>
      <c r="F118" s="9" t="s">
        <v>83</v>
      </c>
      <c r="G118" s="8">
        <f>VALUE(CONCATENATE("0",8.12))</f>
        <v>8.1199999999999992</v>
      </c>
      <c r="H118" s="8">
        <f t="shared" si="17"/>
        <v>0</v>
      </c>
      <c r="I118" s="8">
        <f>VALUE(CONCATENATE("0",0))</f>
        <v>0</v>
      </c>
      <c r="J118" s="8">
        <f t="shared" si="12"/>
        <v>0</v>
      </c>
      <c r="K118" s="8">
        <f>VALUE(CONCATENATE("0",0))</f>
        <v>0</v>
      </c>
      <c r="L118" s="8">
        <f t="shared" si="18"/>
        <v>0</v>
      </c>
      <c r="M118" s="8">
        <f>VALUE(CONCATENATE("0","8.120000"))</f>
        <v>8.1199999999999992</v>
      </c>
      <c r="N118" s="8">
        <f>VALUE(CONCATENATE("0","0.000000"))</f>
        <v>0</v>
      </c>
      <c r="O118" s="7">
        <f>VALUE(CONCATENATE("0",8.12))+VALUE(CONCATENATE("0","0.000000"))-VALUE(CONCATENATE("0",0))-VALUE(CONCATENATE("0",0))-VALUE(CONCATENATE("0",0))-VALUE(CONCATENATE("0",0))-VALUE(CONCATENATE("0",0))-VALUE(CONCATENATE("0","8.120000"))</f>
        <v>0</v>
      </c>
      <c r="P118" s="6">
        <v>0</v>
      </c>
    </row>
    <row r="119" spans="1:16" ht="29.1" customHeight="1">
      <c r="A119" s="5" t="s">
        <v>616</v>
      </c>
      <c r="B119" s="10">
        <v>117</v>
      </c>
      <c r="C119" s="13" t="s">
        <v>615</v>
      </c>
      <c r="D119" s="9" t="s">
        <v>614</v>
      </c>
      <c r="E119" s="9" t="s">
        <v>73</v>
      </c>
      <c r="F119" s="9" t="s">
        <v>89</v>
      </c>
      <c r="G119" s="8">
        <f>VALUE(CONCATENATE("0",7.82))</f>
        <v>7.82</v>
      </c>
      <c r="H119" s="8">
        <f t="shared" si="17"/>
        <v>0</v>
      </c>
      <c r="I119" s="8">
        <f>VALUE(CONCATENATE("0",7.82))</f>
        <v>7.82</v>
      </c>
      <c r="J119" s="8">
        <f t="shared" si="12"/>
        <v>0</v>
      </c>
      <c r="K119" s="8">
        <f>VALUE(CONCATENATE("0",0))</f>
        <v>0</v>
      </c>
      <c r="L119" s="8">
        <f t="shared" si="18"/>
        <v>0</v>
      </c>
      <c r="M119" s="8">
        <f>VALUE(CONCATENATE("0","0.000000"))</f>
        <v>0</v>
      </c>
      <c r="N119" s="8">
        <f>VALUE(CONCATENATE("0","0.000000"))</f>
        <v>0</v>
      </c>
      <c r="O119" s="7">
        <f>VALUE(CONCATENATE("0",7.82))+VALUE(CONCATENATE("0","0.000000"))-VALUE(CONCATENATE("0",0))-VALUE(CONCATENATE("0",0))-VALUE(CONCATENATE("0",7.82))-VALUE(CONCATENATE("0",0))-VALUE(CONCATENATE("0",0))-VALUE(CONCATENATE("0","0.000000"))</f>
        <v>0</v>
      </c>
      <c r="P119" s="6">
        <v>1</v>
      </c>
    </row>
    <row r="120" spans="1:16" ht="29.1" customHeight="1">
      <c r="A120" s="5" t="s">
        <v>613</v>
      </c>
      <c r="B120" s="10">
        <v>118</v>
      </c>
      <c r="C120" s="13" t="s">
        <v>612</v>
      </c>
      <c r="D120" s="9" t="s">
        <v>611</v>
      </c>
      <c r="E120" s="9" t="s">
        <v>96</v>
      </c>
      <c r="F120" s="9" t="s">
        <v>307</v>
      </c>
      <c r="G120" s="8">
        <f>VALUE(CONCATENATE("0",7.81))</f>
        <v>7.81</v>
      </c>
      <c r="H120" s="8">
        <f t="shared" si="17"/>
        <v>0</v>
      </c>
      <c r="I120" s="8">
        <f>VALUE(CONCATENATE("0",7.81))</f>
        <v>7.81</v>
      </c>
      <c r="J120" s="8">
        <f t="shared" si="12"/>
        <v>0</v>
      </c>
      <c r="K120" s="8">
        <f>VALUE(CONCATENATE("0",0))</f>
        <v>0</v>
      </c>
      <c r="L120" s="8">
        <f t="shared" si="18"/>
        <v>0</v>
      </c>
      <c r="M120" s="8">
        <f>VALUE(CONCATENATE("0","7.810000"))</f>
        <v>7.81</v>
      </c>
      <c r="N120" s="8">
        <f>VALUE(CONCATENATE("0","7.810000"))</f>
        <v>7.81</v>
      </c>
      <c r="O120" s="7">
        <f>VALUE(CONCATENATE("0",7.81))+VALUE(CONCATENATE("0","7.810000"))-VALUE(CONCATENATE("0",0))-VALUE(CONCATENATE("0",0))-VALUE(CONCATENATE("0",7.81))-VALUE(CONCATENATE("0",0))-VALUE(CONCATENATE("0",0))-VALUE(CONCATENATE("0","7.810000"))</f>
        <v>0</v>
      </c>
      <c r="P120" s="6">
        <v>0.5</v>
      </c>
    </row>
    <row r="121" spans="1:16" ht="29.1" customHeight="1">
      <c r="A121" s="5" t="s">
        <v>610</v>
      </c>
      <c r="B121" s="10">
        <v>119</v>
      </c>
      <c r="C121" s="13" t="s">
        <v>609</v>
      </c>
      <c r="D121" s="9" t="s">
        <v>608</v>
      </c>
      <c r="E121" s="9" t="s">
        <v>73</v>
      </c>
      <c r="F121" s="9" t="s">
        <v>89</v>
      </c>
      <c r="G121" s="8">
        <f>VALUE(CONCATENATE("0",7.48))</f>
        <v>7.48</v>
      </c>
      <c r="H121" s="8">
        <f t="shared" si="17"/>
        <v>0</v>
      </c>
      <c r="I121" s="8">
        <f>VALUE(CONCATENATE("0",7.48))</f>
        <v>7.48</v>
      </c>
      <c r="J121" s="8">
        <f t="shared" si="12"/>
        <v>0</v>
      </c>
      <c r="K121" s="8">
        <f>VALUE(CONCATENATE("0",0))</f>
        <v>0</v>
      </c>
      <c r="L121" s="8">
        <f t="shared" si="18"/>
        <v>0</v>
      </c>
      <c r="M121" s="8">
        <f>VALUE(CONCATENATE("0","0.000000"))</f>
        <v>0</v>
      </c>
      <c r="N121" s="8">
        <f>VALUE(CONCATENATE("0","0.000000"))</f>
        <v>0</v>
      </c>
      <c r="O121" s="7">
        <f>VALUE(CONCATENATE("0",7.48))+VALUE(CONCATENATE("0","0.000000"))-VALUE(CONCATENATE("0",0))-VALUE(CONCATENATE("0",0))-VALUE(CONCATENATE("0",7.48))-VALUE(CONCATENATE("0",0))-VALUE(CONCATENATE("0",0))-VALUE(CONCATENATE("0","0.000000"))</f>
        <v>0</v>
      </c>
      <c r="P121" s="6">
        <v>1</v>
      </c>
    </row>
    <row r="122" spans="1:16" ht="24.95" customHeight="1">
      <c r="A122" s="5" t="s">
        <v>607</v>
      </c>
      <c r="B122" s="10">
        <v>120</v>
      </c>
      <c r="C122" s="13" t="s">
        <v>606</v>
      </c>
      <c r="D122" s="9" t="s">
        <v>605</v>
      </c>
      <c r="E122" s="9" t="s">
        <v>96</v>
      </c>
      <c r="F122" s="9" t="s">
        <v>83</v>
      </c>
      <c r="G122" s="8">
        <f>VALUE(CONCATENATE("0",7))</f>
        <v>7</v>
      </c>
      <c r="H122" s="8">
        <f t="shared" si="17"/>
        <v>0</v>
      </c>
      <c r="I122" s="8">
        <f>VALUE(CONCATENATE("0",0))</f>
        <v>0</v>
      </c>
      <c r="J122" s="8">
        <f t="shared" si="12"/>
        <v>0</v>
      </c>
      <c r="K122" s="8">
        <f>VALUE(CONCATENATE("0",7.319))</f>
        <v>7.319</v>
      </c>
      <c r="L122" s="8">
        <f t="shared" si="18"/>
        <v>0</v>
      </c>
      <c r="M122" s="8">
        <f>VALUE(CONCATENATE("0","0.436000"))</f>
        <v>0.436</v>
      </c>
      <c r="N122" s="8">
        <f>VALUE(CONCATENATE("0","0.755000"))</f>
        <v>0.755</v>
      </c>
      <c r="O122" s="7">
        <f>VALUE(CONCATENATE("0",7))+VALUE(CONCATENATE("0","0.755000"))-VALUE(CONCATENATE("0",0))-VALUE(CONCATENATE("0",0))-VALUE(CONCATENATE("0",0))-VALUE(CONCATENATE("0",7.319))-VALUE(CONCATENATE("0",0))-VALUE(CONCATENATE("0","0.436000"))</f>
        <v>0</v>
      </c>
      <c r="P122" s="6">
        <v>0.9437782076079948</v>
      </c>
    </row>
    <row r="123" spans="1:16" ht="29.1" customHeight="1">
      <c r="A123" s="5" t="s">
        <v>604</v>
      </c>
      <c r="B123" s="10">
        <v>121</v>
      </c>
      <c r="C123" s="13" t="s">
        <v>603</v>
      </c>
      <c r="D123" s="9" t="s">
        <v>602</v>
      </c>
      <c r="E123" s="9" t="s">
        <v>96</v>
      </c>
      <c r="F123" s="9" t="s">
        <v>89</v>
      </c>
      <c r="G123" s="8">
        <f>VALUE(CONCATENATE("0",6.8))</f>
        <v>6.8</v>
      </c>
      <c r="H123" s="8">
        <f t="shared" si="17"/>
        <v>0</v>
      </c>
      <c r="I123" s="8">
        <f>VALUE(CONCATENATE("0",6.8))</f>
        <v>6.8</v>
      </c>
      <c r="J123" s="8">
        <f t="shared" si="12"/>
        <v>0</v>
      </c>
      <c r="K123" s="8">
        <f>VALUE(CONCATENATE("0",0))</f>
        <v>0</v>
      </c>
      <c r="L123" s="8">
        <f t="shared" si="18"/>
        <v>0</v>
      </c>
      <c r="M123" s="8">
        <f t="shared" ref="M123:N125" si="19">VALUE(CONCATENATE("0","0.000000"))</f>
        <v>0</v>
      </c>
      <c r="N123" s="8">
        <f t="shared" si="19"/>
        <v>0</v>
      </c>
      <c r="O123" s="7">
        <f>VALUE(CONCATENATE("0",6.8))+VALUE(CONCATENATE("0","0.000000"))-VALUE(CONCATENATE("0",0))-VALUE(CONCATENATE("0",0))-VALUE(CONCATENATE("0",6.8))-VALUE(CONCATENATE("0",0))-VALUE(CONCATENATE("0",0))-VALUE(CONCATENATE("0","0.000000"))</f>
        <v>0</v>
      </c>
      <c r="P123" s="6">
        <v>1</v>
      </c>
    </row>
    <row r="124" spans="1:16" ht="29.1" customHeight="1">
      <c r="A124" s="5" t="s">
        <v>601</v>
      </c>
      <c r="B124" s="10">
        <v>122</v>
      </c>
      <c r="C124" s="13" t="s">
        <v>600</v>
      </c>
      <c r="D124" s="9" t="s">
        <v>599</v>
      </c>
      <c r="E124" s="9" t="s">
        <v>69</v>
      </c>
      <c r="F124" s="9" t="s">
        <v>89</v>
      </c>
      <c r="G124" s="8">
        <f>VALUE(CONCATENATE("0",6.78))</f>
        <v>6.78</v>
      </c>
      <c r="H124" s="8">
        <f t="shared" si="17"/>
        <v>0</v>
      </c>
      <c r="I124" s="8">
        <f>VALUE(CONCATENATE("0",6.78))</f>
        <v>6.78</v>
      </c>
      <c r="J124" s="8">
        <f t="shared" si="12"/>
        <v>0</v>
      </c>
      <c r="K124" s="8">
        <f>VALUE(CONCATENATE("0",0))</f>
        <v>0</v>
      </c>
      <c r="L124" s="8">
        <f t="shared" si="18"/>
        <v>0</v>
      </c>
      <c r="M124" s="8">
        <f t="shared" si="19"/>
        <v>0</v>
      </c>
      <c r="N124" s="8">
        <f t="shared" si="19"/>
        <v>0</v>
      </c>
      <c r="O124" s="7">
        <f>VALUE(CONCATENATE("0",6.78))+VALUE(CONCATENATE("0","0.000000"))-VALUE(CONCATENATE("0",0))-VALUE(CONCATENATE("0",0))-VALUE(CONCATENATE("0",6.78))-VALUE(CONCATENATE("0",0))-VALUE(CONCATENATE("0",0))-VALUE(CONCATENATE("0","0.000000"))</f>
        <v>0</v>
      </c>
      <c r="P124" s="6">
        <v>1</v>
      </c>
    </row>
    <row r="125" spans="1:16" ht="24.95" customHeight="1">
      <c r="A125" s="5" t="s">
        <v>598</v>
      </c>
      <c r="B125" s="10">
        <v>123</v>
      </c>
      <c r="C125" s="13" t="s">
        <v>597</v>
      </c>
      <c r="D125" s="9" t="s">
        <v>596</v>
      </c>
      <c r="E125" s="9" t="s">
        <v>68</v>
      </c>
      <c r="F125" s="9" t="s">
        <v>83</v>
      </c>
      <c r="G125" s="8">
        <f>VALUE(CONCATENATE("0",6.32))</f>
        <v>6.32</v>
      </c>
      <c r="H125" s="8">
        <f t="shared" si="17"/>
        <v>0</v>
      </c>
      <c r="I125" s="8">
        <f>VALUE(CONCATENATE("0",0))</f>
        <v>0</v>
      </c>
      <c r="J125" s="8">
        <f t="shared" si="12"/>
        <v>0</v>
      </c>
      <c r="K125" s="8">
        <f>VALUE(CONCATENATE("0",6.32))</f>
        <v>6.32</v>
      </c>
      <c r="L125" s="8">
        <f t="shared" si="18"/>
        <v>0</v>
      </c>
      <c r="M125" s="8">
        <f t="shared" si="19"/>
        <v>0</v>
      </c>
      <c r="N125" s="8">
        <f t="shared" si="19"/>
        <v>0</v>
      </c>
      <c r="O125" s="7">
        <f>VALUE(CONCATENATE("0",6.32))+VALUE(CONCATENATE("0","0.000000"))-VALUE(CONCATENATE("0",0))-VALUE(CONCATENATE("0",0))-VALUE(CONCATENATE("0",0))-VALUE(CONCATENATE("0",6.32))-VALUE(CONCATENATE("0",0))-VALUE(CONCATENATE("0","0.000000"))</f>
        <v>0</v>
      </c>
      <c r="P125" s="6">
        <v>1</v>
      </c>
    </row>
    <row r="126" spans="1:16" ht="29.1" customHeight="1">
      <c r="A126" s="5" t="s">
        <v>595</v>
      </c>
      <c r="B126" s="10">
        <v>124</v>
      </c>
      <c r="C126" s="13" t="s">
        <v>594</v>
      </c>
      <c r="D126" s="9" t="s">
        <v>593</v>
      </c>
      <c r="E126" s="9" t="s">
        <v>112</v>
      </c>
      <c r="F126" s="9" t="s">
        <v>83</v>
      </c>
      <c r="G126" s="8">
        <f>VALUE(CONCATENATE("0",6.283))</f>
        <v>6.2830000000000004</v>
      </c>
      <c r="H126" s="8">
        <f t="shared" si="17"/>
        <v>0</v>
      </c>
      <c r="I126" s="8">
        <f>VALUE(CONCATENATE("0",0))</f>
        <v>0</v>
      </c>
      <c r="J126" s="8">
        <f t="shared" si="12"/>
        <v>0</v>
      </c>
      <c r="K126" s="8">
        <f>VALUE(CONCATENATE("0",6.4))</f>
        <v>6.4</v>
      </c>
      <c r="L126" s="8">
        <f t="shared" si="18"/>
        <v>0</v>
      </c>
      <c r="M126" s="8">
        <f>VALUE(CONCATENATE("0","0.000000"))</f>
        <v>0</v>
      </c>
      <c r="N126" s="8">
        <f>VALUE(CONCATENATE("0","0.117000"))</f>
        <v>0.11700000000000001</v>
      </c>
      <c r="O126" s="7">
        <f>VALUE(CONCATENATE("0",6.283))+VALUE(CONCATENATE("0","0.117000"))-VALUE(CONCATENATE("0",0))-VALUE(CONCATENATE("0",0))-VALUE(CONCATENATE("0",0))-VALUE(CONCATENATE("0",6.4))-VALUE(CONCATENATE("0",0))-VALUE(CONCATENATE("0","0.000000"))</f>
        <v>0</v>
      </c>
      <c r="P126" s="6">
        <v>1</v>
      </c>
    </row>
    <row r="127" spans="1:16" ht="29.1" customHeight="1">
      <c r="A127" s="5" t="s">
        <v>592</v>
      </c>
      <c r="B127" s="10">
        <v>125</v>
      </c>
      <c r="C127" s="13" t="s">
        <v>591</v>
      </c>
      <c r="D127" s="9" t="s">
        <v>590</v>
      </c>
      <c r="E127" s="9" t="s">
        <v>65</v>
      </c>
      <c r="F127" s="9" t="s">
        <v>147</v>
      </c>
      <c r="G127" s="8">
        <f>VALUE(CONCATENATE("0",6.28))</f>
        <v>6.28</v>
      </c>
      <c r="H127" s="8">
        <f t="shared" si="17"/>
        <v>0</v>
      </c>
      <c r="I127" s="8">
        <f>VALUE(CONCATENATE("0",6.28))</f>
        <v>6.28</v>
      </c>
      <c r="J127" s="8">
        <f t="shared" si="12"/>
        <v>0</v>
      </c>
      <c r="K127" s="8">
        <f>VALUE(CONCATENATE("0",0))</f>
        <v>0</v>
      </c>
      <c r="L127" s="8">
        <f t="shared" si="18"/>
        <v>0</v>
      </c>
      <c r="M127" s="8">
        <f>VALUE(CONCATENATE("0","0.000000"))</f>
        <v>0</v>
      </c>
      <c r="N127" s="8">
        <f>VALUE(CONCATENATE("0","0.000000"))</f>
        <v>0</v>
      </c>
      <c r="O127" s="7">
        <f>VALUE(CONCATENATE("0",6.28))+VALUE(CONCATENATE("0","0.000000"))-VALUE(CONCATENATE("0",0))-VALUE(CONCATENATE("0",0))-VALUE(CONCATENATE("0",6.28))-VALUE(CONCATENATE("0",0))-VALUE(CONCATENATE("0",0))-VALUE(CONCATENATE("0","0.000000"))</f>
        <v>0</v>
      </c>
      <c r="P127" s="6">
        <v>1</v>
      </c>
    </row>
    <row r="128" spans="1:16" ht="29.1" customHeight="1">
      <c r="A128" s="5" t="s">
        <v>589</v>
      </c>
      <c r="B128" s="10">
        <v>126</v>
      </c>
      <c r="C128" s="13" t="s">
        <v>588</v>
      </c>
      <c r="D128" s="9" t="s">
        <v>587</v>
      </c>
      <c r="E128" s="9" t="s">
        <v>96</v>
      </c>
      <c r="F128" s="9" t="s">
        <v>89</v>
      </c>
      <c r="G128" s="8">
        <f>VALUE(CONCATENATE("0",6.27))</f>
        <v>6.27</v>
      </c>
      <c r="H128" s="8">
        <f t="shared" si="17"/>
        <v>0</v>
      </c>
      <c r="I128" s="8">
        <f>VALUE(CONCATENATE("0",6.27))</f>
        <v>6.27</v>
      </c>
      <c r="J128" s="8">
        <f t="shared" si="12"/>
        <v>0</v>
      </c>
      <c r="K128" s="8">
        <f>VALUE(CONCATENATE("0",0))</f>
        <v>0</v>
      </c>
      <c r="L128" s="8">
        <f t="shared" si="18"/>
        <v>0</v>
      </c>
      <c r="M128" s="8">
        <f>VALUE(CONCATENATE("0","0.000000"))</f>
        <v>0</v>
      </c>
      <c r="N128" s="8">
        <f>VALUE(CONCATENATE("0","0.000000"))</f>
        <v>0</v>
      </c>
      <c r="O128" s="7">
        <f>VALUE(CONCATENATE("0",6.27))+VALUE(CONCATENATE("0","0.000000"))-VALUE(CONCATENATE("0",0))-VALUE(CONCATENATE("0",0))-VALUE(CONCATENATE("0",6.27))-VALUE(CONCATENATE("0",0))-VALUE(CONCATENATE("0",0))-VALUE(CONCATENATE("0","0.000000"))</f>
        <v>0</v>
      </c>
      <c r="P128" s="6">
        <v>1</v>
      </c>
    </row>
    <row r="129" spans="1:16" ht="24.95" customHeight="1">
      <c r="A129" s="5" t="s">
        <v>586</v>
      </c>
      <c r="B129" s="10">
        <v>127</v>
      </c>
      <c r="C129" s="13" t="s">
        <v>585</v>
      </c>
      <c r="D129" s="9" t="s">
        <v>584</v>
      </c>
      <c r="E129" s="9" t="s">
        <v>96</v>
      </c>
      <c r="F129" s="9" t="s">
        <v>83</v>
      </c>
      <c r="G129" s="8">
        <f>VALUE(CONCATENATE("0",6.195))</f>
        <v>6.1950000000000003</v>
      </c>
      <c r="H129" s="8">
        <f t="shared" si="17"/>
        <v>0</v>
      </c>
      <c r="I129" s="8">
        <f>VALUE(CONCATENATE("0",0))</f>
        <v>0</v>
      </c>
      <c r="J129" s="8">
        <f t="shared" si="12"/>
        <v>0</v>
      </c>
      <c r="K129" s="8">
        <f>VALUE(CONCATENATE("0",2.53))</f>
        <v>2.5299999999999998</v>
      </c>
      <c r="L129" s="8">
        <f t="shared" si="18"/>
        <v>0</v>
      </c>
      <c r="M129" s="8">
        <f>VALUE(CONCATENATE("0","5.065000"))</f>
        <v>5.0650000000000004</v>
      </c>
      <c r="N129" s="8">
        <f>VALUE(CONCATENATE("0","1.400000"))</f>
        <v>1.4</v>
      </c>
      <c r="O129" s="7">
        <f>VALUE(CONCATENATE("0",6.195))+VALUE(CONCATENATE("0","1.400000"))-VALUE(CONCATENATE("0",0))-VALUE(CONCATENATE("0",0))-VALUE(CONCATENATE("0",0))-VALUE(CONCATENATE("0",2.53))-VALUE(CONCATENATE("0",0))-VALUE(CONCATENATE("0","5.065000"))</f>
        <v>0</v>
      </c>
      <c r="P129" s="6">
        <v>0.33311389071757735</v>
      </c>
    </row>
    <row r="130" spans="1:16" ht="29.1" customHeight="1">
      <c r="A130" s="5" t="s">
        <v>583</v>
      </c>
      <c r="B130" s="10">
        <v>128</v>
      </c>
      <c r="C130" s="13" t="s">
        <v>582</v>
      </c>
      <c r="D130" s="9" t="s">
        <v>581</v>
      </c>
      <c r="E130" s="9" t="s">
        <v>96</v>
      </c>
      <c r="F130" s="9" t="s">
        <v>307</v>
      </c>
      <c r="G130" s="8">
        <f>VALUE(CONCATENATE("0",6.18))</f>
        <v>6.18</v>
      </c>
      <c r="H130" s="8">
        <f t="shared" si="17"/>
        <v>0</v>
      </c>
      <c r="I130" s="8">
        <f>VALUE(CONCATENATE("0",5.38))</f>
        <v>5.38</v>
      </c>
      <c r="J130" s="8">
        <f t="shared" si="12"/>
        <v>0</v>
      </c>
      <c r="K130" s="8">
        <f>VALUE(CONCATENATE("0",0.79))</f>
        <v>0.79</v>
      </c>
      <c r="L130" s="8">
        <f t="shared" si="18"/>
        <v>0</v>
      </c>
      <c r="M130" s="8">
        <f>VALUE(CONCATENATE("0","0.010000"))</f>
        <v>0.01</v>
      </c>
      <c r="N130" s="8">
        <f>VALUE(CONCATENATE("0","0.000000"))</f>
        <v>0</v>
      </c>
      <c r="O130" s="7">
        <f>VALUE(CONCATENATE("0",6.18))+VALUE(CONCATENATE("0","0.000000"))-VALUE(CONCATENATE("0",0))-VALUE(CONCATENATE("0",0))-VALUE(CONCATENATE("0",5.38))-VALUE(CONCATENATE("0",0.79))-VALUE(CONCATENATE("0",0))-VALUE(CONCATENATE("0","0.010000"))</f>
        <v>-2.1337098754514727E-16</v>
      </c>
      <c r="P130" s="6">
        <v>0.9983818770226538</v>
      </c>
    </row>
    <row r="131" spans="1:16" ht="24.95" customHeight="1">
      <c r="A131" s="5" t="s">
        <v>580</v>
      </c>
      <c r="B131" s="10">
        <v>129</v>
      </c>
      <c r="C131" s="13" t="s">
        <v>579</v>
      </c>
      <c r="D131" s="9" t="s">
        <v>578</v>
      </c>
      <c r="E131" s="9" t="s">
        <v>65</v>
      </c>
      <c r="F131" s="9" t="s">
        <v>147</v>
      </c>
      <c r="G131" s="8">
        <f>VALUE(CONCATENATE("0",6))</f>
        <v>6</v>
      </c>
      <c r="H131" s="8">
        <f t="shared" si="17"/>
        <v>0</v>
      </c>
      <c r="I131" s="8">
        <f>VALUE(CONCATENATE("0",0))</f>
        <v>0</v>
      </c>
      <c r="J131" s="8">
        <f t="shared" si="12"/>
        <v>0</v>
      </c>
      <c r="K131" s="8">
        <f>VALUE(CONCATENATE("0",0))</f>
        <v>0</v>
      </c>
      <c r="L131" s="8">
        <f t="shared" si="18"/>
        <v>0</v>
      </c>
      <c r="M131" s="8">
        <f>VALUE(CONCATENATE("0","6.000000"))</f>
        <v>6</v>
      </c>
      <c r="N131" s="8">
        <f>VALUE(CONCATENATE("0","0.000000"))</f>
        <v>0</v>
      </c>
      <c r="O131" s="7">
        <f>VALUE(CONCATENATE("0",6))+VALUE(CONCATENATE("0","0.000000"))-VALUE(CONCATENATE("0",0))-VALUE(CONCATENATE("0",0))-VALUE(CONCATENATE("0",0))-VALUE(CONCATENATE("0",0))-VALUE(CONCATENATE("0",0))-VALUE(CONCATENATE("0","6.000000"))</f>
        <v>0</v>
      </c>
      <c r="P131" s="6">
        <v>0</v>
      </c>
    </row>
    <row r="132" spans="1:16" ht="24.95" customHeight="1">
      <c r="A132" s="5" t="s">
        <v>577</v>
      </c>
      <c r="B132" s="10">
        <v>130</v>
      </c>
      <c r="C132" s="13" t="s">
        <v>576</v>
      </c>
      <c r="D132" s="9" t="s">
        <v>575</v>
      </c>
      <c r="E132" s="9" t="s">
        <v>66</v>
      </c>
      <c r="F132" s="9" t="s">
        <v>83</v>
      </c>
      <c r="G132" s="8">
        <f>VALUE(CONCATENATE("0",5.96))</f>
        <v>5.96</v>
      </c>
      <c r="H132" s="8">
        <f t="shared" si="17"/>
        <v>0</v>
      </c>
      <c r="I132" s="8">
        <f>VALUE(CONCATENATE("0",5.96))</f>
        <v>5.96</v>
      </c>
      <c r="J132" s="8">
        <f t="shared" si="12"/>
        <v>0</v>
      </c>
      <c r="K132" s="8">
        <f>VALUE(CONCATENATE("0",0))</f>
        <v>0</v>
      </c>
      <c r="L132" s="8">
        <f t="shared" si="18"/>
        <v>0</v>
      </c>
      <c r="M132" s="8">
        <f>VALUE(CONCATENATE("0","0.000000"))</f>
        <v>0</v>
      </c>
      <c r="N132" s="8">
        <f>VALUE(CONCATENATE("0","0.000000"))</f>
        <v>0</v>
      </c>
      <c r="O132" s="7">
        <f>VALUE(CONCATENATE("0",5.96))+VALUE(CONCATENATE("0","0.000000"))-VALUE(CONCATENATE("0",0))-VALUE(CONCATENATE("0",0))-VALUE(CONCATENATE("0",5.96))-VALUE(CONCATENATE("0",0))-VALUE(CONCATENATE("0",0))-VALUE(CONCATENATE("0","0.000000"))</f>
        <v>0</v>
      </c>
      <c r="P132" s="6">
        <v>1</v>
      </c>
    </row>
    <row r="133" spans="1:16" ht="29.1" customHeight="1">
      <c r="A133" s="5" t="s">
        <v>574</v>
      </c>
      <c r="B133" s="10">
        <v>131</v>
      </c>
      <c r="C133" s="13" t="s">
        <v>573</v>
      </c>
      <c r="D133" s="9" t="s">
        <v>572</v>
      </c>
      <c r="E133" s="9" t="s">
        <v>73</v>
      </c>
      <c r="F133" s="9" t="s">
        <v>89</v>
      </c>
      <c r="G133" s="8">
        <f>VALUE(CONCATENATE("0",5.78))</f>
        <v>5.78</v>
      </c>
      <c r="H133" s="8">
        <f t="shared" si="17"/>
        <v>0</v>
      </c>
      <c r="I133" s="8">
        <f>VALUE(CONCATENATE("0",5.78))</f>
        <v>5.78</v>
      </c>
      <c r="J133" s="8">
        <f t="shared" si="12"/>
        <v>0</v>
      </c>
      <c r="K133" s="8">
        <f>VALUE(CONCATENATE("0",0))</f>
        <v>0</v>
      </c>
      <c r="L133" s="8">
        <f t="shared" si="18"/>
        <v>0</v>
      </c>
      <c r="M133" s="8">
        <f>VALUE(CONCATENATE("0","0.000000"))</f>
        <v>0</v>
      </c>
      <c r="N133" s="8">
        <f>VALUE(CONCATENATE("0","0.000000"))</f>
        <v>0</v>
      </c>
      <c r="O133" s="7">
        <f>VALUE(CONCATENATE("0",5.78))+VALUE(CONCATENATE("0","0.000000"))-VALUE(CONCATENATE("0",0))-VALUE(CONCATENATE("0",0))-VALUE(CONCATENATE("0",5.78))-VALUE(CONCATENATE("0",0))-VALUE(CONCATENATE("0",0))-VALUE(CONCATENATE("0","0.000000"))</f>
        <v>0</v>
      </c>
      <c r="P133" s="6">
        <v>1</v>
      </c>
    </row>
    <row r="134" spans="1:16" ht="24.95" customHeight="1">
      <c r="A134" s="5" t="s">
        <v>571</v>
      </c>
      <c r="B134" s="10">
        <v>132</v>
      </c>
      <c r="C134" s="13" t="s">
        <v>570</v>
      </c>
      <c r="D134" s="9" t="s">
        <v>569</v>
      </c>
      <c r="E134" s="9" t="s">
        <v>67</v>
      </c>
      <c r="F134" s="9" t="s">
        <v>83</v>
      </c>
      <c r="G134" s="8">
        <f>VALUE(CONCATENATE("0",5.6764))</f>
        <v>5.6764000000000001</v>
      </c>
      <c r="H134" s="8">
        <f t="shared" si="17"/>
        <v>0</v>
      </c>
      <c r="I134" s="8">
        <f>VALUE(CONCATENATE("0",0))</f>
        <v>0</v>
      </c>
      <c r="J134" s="8">
        <f t="shared" si="12"/>
        <v>0</v>
      </c>
      <c r="K134" s="8">
        <f>VALUE(CONCATENATE("0",5.504))</f>
        <v>5.5039999999999996</v>
      </c>
      <c r="L134" s="8">
        <f t="shared" si="18"/>
        <v>0</v>
      </c>
      <c r="M134" s="8">
        <f>VALUE(CONCATENATE("0","2.056700"))</f>
        <v>2.0567000000000002</v>
      </c>
      <c r="N134" s="8">
        <f>VALUE(CONCATENATE("0","1.884300"))</f>
        <v>1.8843000000000001</v>
      </c>
      <c r="O134" s="7">
        <f>VALUE(CONCATENATE("0",5.6764))+VALUE(CONCATENATE("0","1.884300"))-VALUE(CONCATENATE("0",0))-VALUE(CONCATENATE("0",0))-VALUE(CONCATENATE("0",0))-VALUE(CONCATENATE("0",5.504))-VALUE(CONCATENATE("0",0))-VALUE(CONCATENATE("0","2.056700"))</f>
        <v>0</v>
      </c>
      <c r="P134" s="6">
        <v>0.72797492295686905</v>
      </c>
    </row>
    <row r="135" spans="1:16" ht="29.1" customHeight="1">
      <c r="A135" s="5" t="s">
        <v>568</v>
      </c>
      <c r="B135" s="10">
        <v>133</v>
      </c>
      <c r="C135" s="13" t="s">
        <v>567</v>
      </c>
      <c r="D135" s="9" t="s">
        <v>566</v>
      </c>
      <c r="E135" s="9" t="s">
        <v>65</v>
      </c>
      <c r="F135" s="9" t="s">
        <v>147</v>
      </c>
      <c r="G135" s="8">
        <f>VALUE(CONCATENATE("0",5.28))</f>
        <v>5.28</v>
      </c>
      <c r="H135" s="8">
        <f t="shared" si="17"/>
        <v>0</v>
      </c>
      <c r="I135" s="8">
        <f>VALUE(CONCATENATE("0",0))</f>
        <v>0</v>
      </c>
      <c r="J135" s="8">
        <f t="shared" si="12"/>
        <v>0</v>
      </c>
      <c r="K135" s="8">
        <f>VALUE(CONCATENATE("0",5.28))</f>
        <v>5.28</v>
      </c>
      <c r="L135" s="8">
        <f t="shared" si="18"/>
        <v>0</v>
      </c>
      <c r="M135" s="8">
        <f>VALUE(CONCATENATE("0","0.000000"))</f>
        <v>0</v>
      </c>
      <c r="N135" s="8">
        <f>VALUE(CONCATENATE("0","0.000000"))</f>
        <v>0</v>
      </c>
      <c r="O135" s="7">
        <f>VALUE(CONCATENATE("0",5.28))+VALUE(CONCATENATE("0","0.000000"))-VALUE(CONCATENATE("0",0))-VALUE(CONCATENATE("0",0))-VALUE(CONCATENATE("0",0))-VALUE(CONCATENATE("0",5.28))-VALUE(CONCATENATE("0",0))-VALUE(CONCATENATE("0","0.000000"))</f>
        <v>0</v>
      </c>
      <c r="P135" s="6">
        <v>1</v>
      </c>
    </row>
    <row r="136" spans="1:16" ht="24.95" customHeight="1">
      <c r="A136" s="5" t="s">
        <v>565</v>
      </c>
      <c r="B136" s="10">
        <v>134</v>
      </c>
      <c r="C136" s="13" t="s">
        <v>564</v>
      </c>
      <c r="D136" s="9" t="s">
        <v>563</v>
      </c>
      <c r="E136" s="9" t="s">
        <v>68</v>
      </c>
      <c r="F136" s="9" t="s">
        <v>83</v>
      </c>
      <c r="G136" s="8">
        <f>VALUE(CONCATENATE("0",5.19))</f>
        <v>5.19</v>
      </c>
      <c r="H136" s="8">
        <f t="shared" ref="H136:H167" si="20">VALUE(CONCATENATE("0",0))</f>
        <v>0</v>
      </c>
      <c r="I136" s="8">
        <f>VALUE(CONCATENATE("0",0))</f>
        <v>0</v>
      </c>
      <c r="J136" s="8">
        <f t="shared" si="12"/>
        <v>0</v>
      </c>
      <c r="K136" s="8">
        <f>VALUE(CONCATENATE("0",5))</f>
        <v>5</v>
      </c>
      <c r="L136" s="8">
        <f t="shared" si="18"/>
        <v>0</v>
      </c>
      <c r="M136" s="8">
        <f>VALUE(CONCATENATE("0","0.190000"))</f>
        <v>0.19</v>
      </c>
      <c r="N136" s="8">
        <f t="shared" ref="N136:N148" si="21">VALUE(CONCATENATE("0","0.000000"))</f>
        <v>0</v>
      </c>
      <c r="O136" s="7">
        <f>VALUE(CONCATENATE("0",5.19))+VALUE(CONCATENATE("0","0.000000"))-VALUE(CONCATENATE("0",0))-VALUE(CONCATENATE("0",0))-VALUE(CONCATENATE("0",0))-VALUE(CONCATENATE("0",5))-VALUE(CONCATENATE("0",0))-VALUE(CONCATENATE("0","0.190000"))</f>
        <v>3.8857805861880479E-16</v>
      </c>
      <c r="P136" s="6">
        <v>0.96339113680154131</v>
      </c>
    </row>
    <row r="137" spans="1:16" ht="29.1" customHeight="1">
      <c r="A137" s="5" t="s">
        <v>562</v>
      </c>
      <c r="B137" s="10">
        <v>135</v>
      </c>
      <c r="C137" s="13" t="s">
        <v>561</v>
      </c>
      <c r="D137" s="9" t="s">
        <v>560</v>
      </c>
      <c r="E137" s="9" t="s">
        <v>69</v>
      </c>
      <c r="F137" s="9" t="s">
        <v>307</v>
      </c>
      <c r="G137" s="8">
        <f t="shared" ref="G137:G142" si="22">VALUE(CONCATENATE("0",5))</f>
        <v>5</v>
      </c>
      <c r="H137" s="8">
        <f t="shared" si="20"/>
        <v>0</v>
      </c>
      <c r="I137" s="8">
        <f>VALUE(CONCATENATE("0",0))</f>
        <v>0</v>
      </c>
      <c r="J137" s="8">
        <f t="shared" ref="J137:J200" si="23">VALUE(CONCATENATE("0",0))</f>
        <v>0</v>
      </c>
      <c r="K137" s="8">
        <f>VALUE(CONCATENATE("0",0))</f>
        <v>0</v>
      </c>
      <c r="L137" s="8">
        <f>VALUE(CONCATENATE("0",5))</f>
        <v>5</v>
      </c>
      <c r="M137" s="8">
        <f t="shared" ref="M137:M146" si="24">VALUE(CONCATENATE("0","0.000000"))</f>
        <v>0</v>
      </c>
      <c r="N137" s="8">
        <f t="shared" si="21"/>
        <v>0</v>
      </c>
      <c r="O137" s="7">
        <f>VALUE(CONCATENATE("0",5))+VALUE(CONCATENATE("0","0.000000"))-VALUE(CONCATENATE("0",0))-VALUE(CONCATENATE("0",0))-VALUE(CONCATENATE("0",0))-VALUE(CONCATENATE("0",0))-VALUE(CONCATENATE("0",5))-VALUE(CONCATENATE("0","0.000000"))</f>
        <v>0</v>
      </c>
      <c r="P137" s="6">
        <v>0</v>
      </c>
    </row>
    <row r="138" spans="1:16" ht="29.1" customHeight="1">
      <c r="A138" s="5" t="s">
        <v>559</v>
      </c>
      <c r="B138" s="10">
        <v>136</v>
      </c>
      <c r="C138" s="13" t="s">
        <v>558</v>
      </c>
      <c r="D138" s="9" t="s">
        <v>557</v>
      </c>
      <c r="E138" s="9" t="s">
        <v>65</v>
      </c>
      <c r="F138" s="9" t="s">
        <v>83</v>
      </c>
      <c r="G138" s="8">
        <f t="shared" si="22"/>
        <v>5</v>
      </c>
      <c r="H138" s="8">
        <f t="shared" si="20"/>
        <v>0</v>
      </c>
      <c r="I138" s="8">
        <f>VALUE(CONCATENATE("0",5))</f>
        <v>5</v>
      </c>
      <c r="J138" s="8">
        <f t="shared" si="23"/>
        <v>0</v>
      </c>
      <c r="K138" s="8">
        <f>VALUE(CONCATENATE("0",0))</f>
        <v>0</v>
      </c>
      <c r="L138" s="8">
        <f t="shared" ref="L138:L153" si="25">VALUE(CONCATENATE("0",0))</f>
        <v>0</v>
      </c>
      <c r="M138" s="8">
        <f t="shared" si="24"/>
        <v>0</v>
      </c>
      <c r="N138" s="8">
        <f t="shared" si="21"/>
        <v>0</v>
      </c>
      <c r="O138" s="7">
        <f>VALUE(CONCATENATE("0",5))+VALUE(CONCATENATE("0","0.000000"))-VALUE(CONCATENATE("0",0))-VALUE(CONCATENATE("0",0))-VALUE(CONCATENATE("0",5))-VALUE(CONCATENATE("0",0))-VALUE(CONCATENATE("0",0))-VALUE(CONCATENATE("0","0.000000"))</f>
        <v>0</v>
      </c>
      <c r="P138" s="6">
        <v>1</v>
      </c>
    </row>
    <row r="139" spans="1:16" ht="24.95" customHeight="1">
      <c r="A139" s="5" t="s">
        <v>556</v>
      </c>
      <c r="B139" s="10">
        <v>137</v>
      </c>
      <c r="C139" s="13" t="s">
        <v>555</v>
      </c>
      <c r="D139" s="9" t="s">
        <v>554</v>
      </c>
      <c r="E139" s="9" t="s">
        <v>69</v>
      </c>
      <c r="F139" s="9" t="s">
        <v>83</v>
      </c>
      <c r="G139" s="8">
        <f t="shared" si="22"/>
        <v>5</v>
      </c>
      <c r="H139" s="8">
        <f t="shared" si="20"/>
        <v>0</v>
      </c>
      <c r="I139" s="8">
        <f>VALUE(CONCATENATE("0",0))</f>
        <v>0</v>
      </c>
      <c r="J139" s="8">
        <f t="shared" si="23"/>
        <v>0</v>
      </c>
      <c r="K139" s="8">
        <f>VALUE(CONCATENATE("0",5))</f>
        <v>5</v>
      </c>
      <c r="L139" s="8">
        <f t="shared" si="25"/>
        <v>0</v>
      </c>
      <c r="M139" s="8">
        <f t="shared" si="24"/>
        <v>0</v>
      </c>
      <c r="N139" s="8">
        <f t="shared" si="21"/>
        <v>0</v>
      </c>
      <c r="O139" s="7">
        <f>VALUE(CONCATENATE("0",5))+VALUE(CONCATENATE("0","0.000000"))-VALUE(CONCATENATE("0",0))-VALUE(CONCATENATE("0",0))-VALUE(CONCATENATE("0",0))-VALUE(CONCATENATE("0",5))-VALUE(CONCATENATE("0",0))-VALUE(CONCATENATE("0","0.000000"))</f>
        <v>0</v>
      </c>
      <c r="P139" s="6">
        <v>1</v>
      </c>
    </row>
    <row r="140" spans="1:16" ht="24.95" customHeight="1">
      <c r="A140" s="5" t="s">
        <v>553</v>
      </c>
      <c r="B140" s="10">
        <v>138</v>
      </c>
      <c r="C140" s="13" t="s">
        <v>552</v>
      </c>
      <c r="D140" s="9" t="s">
        <v>551</v>
      </c>
      <c r="E140" s="9" t="s">
        <v>66</v>
      </c>
      <c r="F140" s="9" t="s">
        <v>83</v>
      </c>
      <c r="G140" s="8">
        <f t="shared" si="22"/>
        <v>5</v>
      </c>
      <c r="H140" s="8">
        <f t="shared" si="20"/>
        <v>0</v>
      </c>
      <c r="I140" s="8">
        <f>VALUE(CONCATENATE("0",0))</f>
        <v>0</v>
      </c>
      <c r="J140" s="8">
        <f t="shared" si="23"/>
        <v>0</v>
      </c>
      <c r="K140" s="8">
        <f>VALUE(CONCATENATE("0",5))</f>
        <v>5</v>
      </c>
      <c r="L140" s="8">
        <f t="shared" si="25"/>
        <v>0</v>
      </c>
      <c r="M140" s="8">
        <f t="shared" si="24"/>
        <v>0</v>
      </c>
      <c r="N140" s="8">
        <f t="shared" si="21"/>
        <v>0</v>
      </c>
      <c r="O140" s="7">
        <f>VALUE(CONCATENATE("0",5))+VALUE(CONCATENATE("0","0.000000"))-VALUE(CONCATENATE("0",0))-VALUE(CONCATENATE("0",0))-VALUE(CONCATENATE("0",0))-VALUE(CONCATENATE("0",5))-VALUE(CONCATENATE("0",0))-VALUE(CONCATENATE("0","0.000000"))</f>
        <v>0</v>
      </c>
      <c r="P140" s="6">
        <v>1</v>
      </c>
    </row>
    <row r="141" spans="1:16" ht="29.1" customHeight="1">
      <c r="A141" s="5" t="s">
        <v>550</v>
      </c>
      <c r="B141" s="10">
        <v>139</v>
      </c>
      <c r="C141" s="13" t="s">
        <v>549</v>
      </c>
      <c r="D141" s="9" t="s">
        <v>548</v>
      </c>
      <c r="E141" s="9" t="s">
        <v>68</v>
      </c>
      <c r="F141" s="9" t="s">
        <v>147</v>
      </c>
      <c r="G141" s="8">
        <f t="shared" si="22"/>
        <v>5</v>
      </c>
      <c r="H141" s="8">
        <f t="shared" si="20"/>
        <v>0</v>
      </c>
      <c r="I141" s="8">
        <f>VALUE(CONCATENATE("0",0))</f>
        <v>0</v>
      </c>
      <c r="J141" s="8">
        <f t="shared" si="23"/>
        <v>0</v>
      </c>
      <c r="K141" s="8">
        <f>VALUE(CONCATENATE("0",5))</f>
        <v>5</v>
      </c>
      <c r="L141" s="8">
        <f t="shared" si="25"/>
        <v>0</v>
      </c>
      <c r="M141" s="8">
        <f t="shared" si="24"/>
        <v>0</v>
      </c>
      <c r="N141" s="8">
        <f t="shared" si="21"/>
        <v>0</v>
      </c>
      <c r="O141" s="7">
        <f>VALUE(CONCATENATE("0",5))+VALUE(CONCATENATE("0","0.000000"))-VALUE(CONCATENATE("0",0))-VALUE(CONCATENATE("0",0))-VALUE(CONCATENATE("0",0))-VALUE(CONCATENATE("0",5))-VALUE(CONCATENATE("0",0))-VALUE(CONCATENATE("0","0.000000"))</f>
        <v>0</v>
      </c>
      <c r="P141" s="6">
        <v>1</v>
      </c>
    </row>
    <row r="142" spans="1:16" ht="29.1" customHeight="1">
      <c r="A142" s="5" t="s">
        <v>547</v>
      </c>
      <c r="B142" s="10">
        <v>140</v>
      </c>
      <c r="C142" s="13" t="s">
        <v>546</v>
      </c>
      <c r="D142" s="9" t="s">
        <v>545</v>
      </c>
      <c r="E142" s="9" t="s">
        <v>66</v>
      </c>
      <c r="F142" s="9" t="s">
        <v>89</v>
      </c>
      <c r="G142" s="8">
        <f t="shared" si="22"/>
        <v>5</v>
      </c>
      <c r="H142" s="8">
        <f t="shared" si="20"/>
        <v>0</v>
      </c>
      <c r="I142" s="8">
        <f>VALUE(CONCATENATE("0",5))</f>
        <v>5</v>
      </c>
      <c r="J142" s="8">
        <f t="shared" si="23"/>
        <v>0</v>
      </c>
      <c r="K142" s="8">
        <f>VALUE(CONCATENATE("0",0))</f>
        <v>0</v>
      </c>
      <c r="L142" s="8">
        <f t="shared" si="25"/>
        <v>0</v>
      </c>
      <c r="M142" s="8">
        <f t="shared" si="24"/>
        <v>0</v>
      </c>
      <c r="N142" s="8">
        <f t="shared" si="21"/>
        <v>0</v>
      </c>
      <c r="O142" s="7">
        <f>VALUE(CONCATENATE("0",5))+VALUE(CONCATENATE("0","0.000000"))-VALUE(CONCATENATE("0",0))-VALUE(CONCATENATE("0",0))-VALUE(CONCATENATE("0",5))-VALUE(CONCATENATE("0",0))-VALUE(CONCATENATE("0",0))-VALUE(CONCATENATE("0","0.000000"))</f>
        <v>0</v>
      </c>
      <c r="P142" s="6">
        <v>1</v>
      </c>
    </row>
    <row r="143" spans="1:16" ht="29.1" customHeight="1">
      <c r="A143" s="5" t="s">
        <v>544</v>
      </c>
      <c r="B143" s="10">
        <v>141</v>
      </c>
      <c r="C143" s="13" t="s">
        <v>543</v>
      </c>
      <c r="D143" s="9" t="s">
        <v>542</v>
      </c>
      <c r="E143" s="9" t="s">
        <v>73</v>
      </c>
      <c r="F143" s="9" t="s">
        <v>89</v>
      </c>
      <c r="G143" s="8">
        <f>VALUE(CONCATENATE("0",4.93))</f>
        <v>4.93</v>
      </c>
      <c r="H143" s="8">
        <f t="shared" si="20"/>
        <v>0</v>
      </c>
      <c r="I143" s="8">
        <f>VALUE(CONCATENATE("0",4.93))</f>
        <v>4.93</v>
      </c>
      <c r="J143" s="8">
        <f t="shared" si="23"/>
        <v>0</v>
      </c>
      <c r="K143" s="8">
        <f>VALUE(CONCATENATE("0",0))</f>
        <v>0</v>
      </c>
      <c r="L143" s="8">
        <f t="shared" si="25"/>
        <v>0</v>
      </c>
      <c r="M143" s="8">
        <f t="shared" si="24"/>
        <v>0</v>
      </c>
      <c r="N143" s="8">
        <f t="shared" si="21"/>
        <v>0</v>
      </c>
      <c r="O143" s="7">
        <f>VALUE(CONCATENATE("0",4.93))+VALUE(CONCATENATE("0","0.000000"))-VALUE(CONCATENATE("0",0))-VALUE(CONCATENATE("0",0))-VALUE(CONCATENATE("0",4.93))-VALUE(CONCATENATE("0",0))-VALUE(CONCATENATE("0",0))-VALUE(CONCATENATE("0","0.000000"))</f>
        <v>0</v>
      </c>
      <c r="P143" s="6">
        <v>1</v>
      </c>
    </row>
    <row r="144" spans="1:16" ht="29.1" customHeight="1">
      <c r="A144" s="5" t="s">
        <v>541</v>
      </c>
      <c r="B144" s="10">
        <v>142</v>
      </c>
      <c r="C144" s="13" t="s">
        <v>540</v>
      </c>
      <c r="D144" s="9" t="s">
        <v>539</v>
      </c>
      <c r="E144" s="9" t="s">
        <v>69</v>
      </c>
      <c r="F144" s="9" t="s">
        <v>89</v>
      </c>
      <c r="G144" s="8">
        <f>VALUE(CONCATENATE("0",4.8))</f>
        <v>4.8</v>
      </c>
      <c r="H144" s="8">
        <f t="shared" si="20"/>
        <v>0</v>
      </c>
      <c r="I144" s="8">
        <f>VALUE(CONCATENATE("0",4.8))</f>
        <v>4.8</v>
      </c>
      <c r="J144" s="8">
        <f t="shared" si="23"/>
        <v>0</v>
      </c>
      <c r="K144" s="8">
        <f>VALUE(CONCATENATE("0",0))</f>
        <v>0</v>
      </c>
      <c r="L144" s="8">
        <f t="shared" si="25"/>
        <v>0</v>
      </c>
      <c r="M144" s="8">
        <f t="shared" si="24"/>
        <v>0</v>
      </c>
      <c r="N144" s="8">
        <f t="shared" si="21"/>
        <v>0</v>
      </c>
      <c r="O144" s="7">
        <f>VALUE(CONCATENATE("0",4.8))+VALUE(CONCATENATE("0","0.000000"))-VALUE(CONCATENATE("0",0))-VALUE(CONCATENATE("0",0))-VALUE(CONCATENATE("0",4.8))-VALUE(CONCATENATE("0",0))-VALUE(CONCATENATE("0",0))-VALUE(CONCATENATE("0","0.000000"))</f>
        <v>0</v>
      </c>
      <c r="P144" s="6">
        <v>1</v>
      </c>
    </row>
    <row r="145" spans="1:16" ht="29.1" customHeight="1">
      <c r="A145" s="5" t="s">
        <v>538</v>
      </c>
      <c r="B145" s="10">
        <v>143</v>
      </c>
      <c r="C145" s="13" t="s">
        <v>537</v>
      </c>
      <c r="D145" s="9" t="s">
        <v>536</v>
      </c>
      <c r="E145" s="9" t="s">
        <v>69</v>
      </c>
      <c r="F145" s="9" t="s">
        <v>89</v>
      </c>
      <c r="G145" s="8">
        <f>VALUE(CONCATENATE("0",4.24))</f>
        <v>4.24</v>
      </c>
      <c r="H145" s="8">
        <f t="shared" si="20"/>
        <v>0</v>
      </c>
      <c r="I145" s="8">
        <f>VALUE(CONCATENATE("0",4.24))</f>
        <v>4.24</v>
      </c>
      <c r="J145" s="8">
        <f t="shared" si="23"/>
        <v>0</v>
      </c>
      <c r="K145" s="8">
        <f>VALUE(CONCATENATE("0",0))</f>
        <v>0</v>
      </c>
      <c r="L145" s="8">
        <f t="shared" si="25"/>
        <v>0</v>
      </c>
      <c r="M145" s="8">
        <f t="shared" si="24"/>
        <v>0</v>
      </c>
      <c r="N145" s="8">
        <f t="shared" si="21"/>
        <v>0</v>
      </c>
      <c r="O145" s="7">
        <f>VALUE(CONCATENATE("0",4.24))+VALUE(CONCATENATE("0","0.000000"))-VALUE(CONCATENATE("0",0))-VALUE(CONCATENATE("0",0))-VALUE(CONCATENATE("0",4.24))-VALUE(CONCATENATE("0",0))-VALUE(CONCATENATE("0",0))-VALUE(CONCATENATE("0","0.000000"))</f>
        <v>0</v>
      </c>
      <c r="P145" s="6">
        <v>1</v>
      </c>
    </row>
    <row r="146" spans="1:16" ht="29.1" customHeight="1">
      <c r="A146" s="5" t="s">
        <v>535</v>
      </c>
      <c r="B146" s="10">
        <v>144</v>
      </c>
      <c r="C146" s="13" t="s">
        <v>534</v>
      </c>
      <c r="D146" s="9" t="s">
        <v>533</v>
      </c>
      <c r="E146" s="9" t="s">
        <v>112</v>
      </c>
      <c r="F146" s="9" t="s">
        <v>83</v>
      </c>
      <c r="G146" s="8">
        <f>VALUE(CONCATENATE("0",4.1))</f>
        <v>4.0999999999999996</v>
      </c>
      <c r="H146" s="8">
        <f t="shared" si="20"/>
        <v>0</v>
      </c>
      <c r="I146" s="8">
        <f>VALUE(CONCATENATE("0",0))</f>
        <v>0</v>
      </c>
      <c r="J146" s="8">
        <f t="shared" si="23"/>
        <v>0</v>
      </c>
      <c r="K146" s="8">
        <f>VALUE(CONCATENATE("0",4.1))</f>
        <v>4.0999999999999996</v>
      </c>
      <c r="L146" s="8">
        <f t="shared" si="25"/>
        <v>0</v>
      </c>
      <c r="M146" s="8">
        <f t="shared" si="24"/>
        <v>0</v>
      </c>
      <c r="N146" s="8">
        <f t="shared" si="21"/>
        <v>0</v>
      </c>
      <c r="O146" s="7">
        <f>VALUE(CONCATENATE("0",4.1))+VALUE(CONCATENATE("0","0.000000"))-VALUE(CONCATENATE("0",0))-VALUE(CONCATENATE("0",0))-VALUE(CONCATENATE("0",0))-VALUE(CONCATENATE("0",4.1))-VALUE(CONCATENATE("0",0))-VALUE(CONCATENATE("0","0.000000"))</f>
        <v>0</v>
      </c>
      <c r="P146" s="6">
        <v>1</v>
      </c>
    </row>
    <row r="147" spans="1:16" ht="29.1" customHeight="1">
      <c r="A147" s="5" t="s">
        <v>532</v>
      </c>
      <c r="B147" s="10">
        <v>145</v>
      </c>
      <c r="C147" s="13" t="s">
        <v>531</v>
      </c>
      <c r="D147" s="9" t="s">
        <v>530</v>
      </c>
      <c r="E147" s="9" t="s">
        <v>65</v>
      </c>
      <c r="F147" s="9" t="s">
        <v>89</v>
      </c>
      <c r="G147" s="8">
        <f>VALUE(CONCATENATE("0",4))</f>
        <v>4</v>
      </c>
      <c r="H147" s="8">
        <f t="shared" si="20"/>
        <v>0</v>
      </c>
      <c r="I147" s="8">
        <f>VALUE(CONCATENATE("0",0))</f>
        <v>0</v>
      </c>
      <c r="J147" s="8">
        <f t="shared" si="23"/>
        <v>0</v>
      </c>
      <c r="K147" s="8">
        <f>VALUE(CONCATENATE("0",0))</f>
        <v>0</v>
      </c>
      <c r="L147" s="8">
        <f t="shared" si="25"/>
        <v>0</v>
      </c>
      <c r="M147" s="8">
        <f>VALUE(CONCATENATE("0","4.000000"))</f>
        <v>4</v>
      </c>
      <c r="N147" s="8">
        <f t="shared" si="21"/>
        <v>0</v>
      </c>
      <c r="O147" s="7">
        <f>VALUE(CONCATENATE("0",4))+VALUE(CONCATENATE("0","0.000000"))-VALUE(CONCATENATE("0",0))-VALUE(CONCATENATE("0",0))-VALUE(CONCATENATE("0",0))-VALUE(CONCATENATE("0",0))-VALUE(CONCATENATE("0",0))-VALUE(CONCATENATE("0","4.000000"))</f>
        <v>0</v>
      </c>
      <c r="P147" s="6">
        <v>0</v>
      </c>
    </row>
    <row r="148" spans="1:16" ht="29.1" customHeight="1">
      <c r="A148" s="5" t="s">
        <v>529</v>
      </c>
      <c r="B148" s="10">
        <v>146</v>
      </c>
      <c r="C148" s="13" t="s">
        <v>528</v>
      </c>
      <c r="D148" s="9" t="s">
        <v>527</v>
      </c>
      <c r="E148" s="9" t="s">
        <v>96</v>
      </c>
      <c r="F148" s="9" t="s">
        <v>83</v>
      </c>
      <c r="G148" s="8">
        <f>VALUE(CONCATENATE("0",3.75641))</f>
        <v>3.7564099999999998</v>
      </c>
      <c r="H148" s="8">
        <f t="shared" si="20"/>
        <v>0</v>
      </c>
      <c r="I148" s="8">
        <f>VALUE(CONCATENATE("0",0))</f>
        <v>0</v>
      </c>
      <c r="J148" s="8">
        <f t="shared" si="23"/>
        <v>0</v>
      </c>
      <c r="K148" s="8">
        <f>VALUE(CONCATENATE("0",3.07202))</f>
        <v>3.0720200000000002</v>
      </c>
      <c r="L148" s="8">
        <f t="shared" si="25"/>
        <v>0</v>
      </c>
      <c r="M148" s="8">
        <f>VALUE(CONCATENATE("0","0.684390"))</f>
        <v>0.68439000000000005</v>
      </c>
      <c r="N148" s="8">
        <f t="shared" si="21"/>
        <v>0</v>
      </c>
      <c r="O148" s="7">
        <f>VALUE(CONCATENATE("0",3.75641))+VALUE(CONCATENATE("0","0.000000"))-VALUE(CONCATENATE("0",0))-VALUE(CONCATENATE("0",0))-VALUE(CONCATENATE("0",0))-VALUE(CONCATENATE("0",3.07202))-VALUE(CONCATENATE("0",0))-VALUE(CONCATENATE("0","0.684390"))</f>
        <v>0</v>
      </c>
      <c r="P148" s="6">
        <v>0.81780742783668459</v>
      </c>
    </row>
    <row r="149" spans="1:16" ht="24.95" customHeight="1">
      <c r="A149" s="5" t="s">
        <v>526</v>
      </c>
      <c r="B149" s="10">
        <v>147</v>
      </c>
      <c r="C149" s="13" t="s">
        <v>525</v>
      </c>
      <c r="D149" s="9" t="s">
        <v>524</v>
      </c>
      <c r="E149" s="9" t="s">
        <v>69</v>
      </c>
      <c r="F149" s="9" t="s">
        <v>83</v>
      </c>
      <c r="G149" s="8">
        <f>VALUE(CONCATENATE("0",3.66))</f>
        <v>3.66</v>
      </c>
      <c r="H149" s="8">
        <f t="shared" si="20"/>
        <v>0</v>
      </c>
      <c r="I149" s="8">
        <f>VALUE(CONCATENATE("0",4.11))</f>
        <v>4.1100000000000003</v>
      </c>
      <c r="J149" s="8">
        <f t="shared" si="23"/>
        <v>0</v>
      </c>
      <c r="K149" s="8">
        <f>VALUE(CONCATENATE("0",0))</f>
        <v>0</v>
      </c>
      <c r="L149" s="8">
        <f t="shared" si="25"/>
        <v>0</v>
      </c>
      <c r="M149" s="8">
        <f>VALUE(CONCATENATE("0","0.960000"))</f>
        <v>0.96</v>
      </c>
      <c r="N149" s="8">
        <f>VALUE(CONCATENATE("0","1.410000"))</f>
        <v>1.41</v>
      </c>
      <c r="O149" s="7">
        <f>VALUE(CONCATENATE("0",3.66))+VALUE(CONCATENATE("0","1.410000"))-VALUE(CONCATENATE("0",0))-VALUE(CONCATENATE("0",0))-VALUE(CONCATENATE("0",4.11))-VALUE(CONCATENATE("0",0))-VALUE(CONCATENATE("0",0))-VALUE(CONCATENATE("0","0.960000"))</f>
        <v>0</v>
      </c>
      <c r="P149" s="6">
        <v>0.81065088757396453</v>
      </c>
    </row>
    <row r="150" spans="1:16" ht="29.1" customHeight="1">
      <c r="A150" s="5" t="s">
        <v>523</v>
      </c>
      <c r="B150" s="10">
        <v>148</v>
      </c>
      <c r="C150" s="13" t="s">
        <v>522</v>
      </c>
      <c r="D150" s="9" t="s">
        <v>521</v>
      </c>
      <c r="E150" s="9" t="s">
        <v>96</v>
      </c>
      <c r="F150" s="9" t="s">
        <v>307</v>
      </c>
      <c r="G150" s="8">
        <f>VALUE(CONCATENATE("0",3.57))</f>
        <v>3.57</v>
      </c>
      <c r="H150" s="8">
        <f t="shared" si="20"/>
        <v>0</v>
      </c>
      <c r="I150" s="8">
        <f>VALUE(CONCATENATE("0",3.57))</f>
        <v>3.57</v>
      </c>
      <c r="J150" s="8">
        <f t="shared" si="23"/>
        <v>0</v>
      </c>
      <c r="K150" s="8">
        <f>VALUE(CONCATENATE("0",0))</f>
        <v>0</v>
      </c>
      <c r="L150" s="8">
        <f t="shared" si="25"/>
        <v>0</v>
      </c>
      <c r="M150" s="8">
        <f>VALUE(CONCATENATE("0","0.000000"))</f>
        <v>0</v>
      </c>
      <c r="N150" s="8">
        <f>VALUE(CONCATENATE("0","0.000000"))</f>
        <v>0</v>
      </c>
      <c r="O150" s="7">
        <f>VALUE(CONCATENATE("0",3.57))+VALUE(CONCATENATE("0","0.000000"))-VALUE(CONCATENATE("0",0))-VALUE(CONCATENATE("0",0))-VALUE(CONCATENATE("0",3.57))-VALUE(CONCATENATE("0",0))-VALUE(CONCATENATE("0",0))-VALUE(CONCATENATE("0","0.000000"))</f>
        <v>0</v>
      </c>
      <c r="P150" s="6">
        <v>1</v>
      </c>
    </row>
    <row r="151" spans="1:16" ht="29.1" customHeight="1">
      <c r="A151" s="5" t="s">
        <v>520</v>
      </c>
      <c r="B151" s="10">
        <v>149</v>
      </c>
      <c r="C151" s="13" t="s">
        <v>519</v>
      </c>
      <c r="D151" s="9" t="s">
        <v>518</v>
      </c>
      <c r="E151" s="9" t="s">
        <v>112</v>
      </c>
      <c r="F151" s="9" t="s">
        <v>517</v>
      </c>
      <c r="G151" s="8">
        <f>VALUE(CONCATENATE("0",3.50631))</f>
        <v>3.50631</v>
      </c>
      <c r="H151" s="8">
        <f t="shared" si="20"/>
        <v>0</v>
      </c>
      <c r="I151" s="8">
        <f>VALUE(CONCATENATE("0",0))</f>
        <v>0</v>
      </c>
      <c r="J151" s="8">
        <f t="shared" si="23"/>
        <v>0</v>
      </c>
      <c r="K151" s="8">
        <f>VALUE(CONCATENATE("0",3.35))</f>
        <v>3.35</v>
      </c>
      <c r="L151" s="8">
        <f t="shared" si="25"/>
        <v>0</v>
      </c>
      <c r="M151" s="8">
        <f>VALUE(CONCATENATE("0","0.276310"))</f>
        <v>0.27631</v>
      </c>
      <c r="N151" s="8">
        <f>VALUE(CONCATENATE("0","0.120000"))</f>
        <v>0.12</v>
      </c>
      <c r="O151" s="7">
        <f>VALUE(CONCATENATE("0",3.50631))+VALUE(CONCATENATE("0","0.120000"))-VALUE(CONCATENATE("0",0))-VALUE(CONCATENATE("0",0))-VALUE(CONCATENATE("0",0))-VALUE(CONCATENATE("0",3.35))-VALUE(CONCATENATE("0",0))-VALUE(CONCATENATE("0","0.276310"))</f>
        <v>0</v>
      </c>
      <c r="P151" s="6">
        <v>0.92380408735050223</v>
      </c>
    </row>
    <row r="152" spans="1:16" ht="24.95" customHeight="1">
      <c r="A152" s="5" t="s">
        <v>516</v>
      </c>
      <c r="B152" s="10">
        <v>150</v>
      </c>
      <c r="C152" s="13" t="s">
        <v>515</v>
      </c>
      <c r="D152" s="9" t="s">
        <v>514</v>
      </c>
      <c r="E152" s="9" t="s">
        <v>73</v>
      </c>
      <c r="F152" s="9" t="s">
        <v>89</v>
      </c>
      <c r="G152" s="8">
        <f>VALUE(CONCATENATE("0",3.45))</f>
        <v>3.45</v>
      </c>
      <c r="H152" s="8">
        <f t="shared" si="20"/>
        <v>0</v>
      </c>
      <c r="I152" s="8">
        <f>VALUE(CONCATENATE("0",3.45))</f>
        <v>3.45</v>
      </c>
      <c r="J152" s="8">
        <f t="shared" si="23"/>
        <v>0</v>
      </c>
      <c r="K152" s="8">
        <f>VALUE(CONCATENATE("0",0))</f>
        <v>0</v>
      </c>
      <c r="L152" s="8">
        <f t="shared" si="25"/>
        <v>0</v>
      </c>
      <c r="M152" s="8">
        <f t="shared" ref="M152:N158" si="26">VALUE(CONCATENATE("0","0.000000"))</f>
        <v>0</v>
      </c>
      <c r="N152" s="8">
        <f t="shared" si="26"/>
        <v>0</v>
      </c>
      <c r="O152" s="7">
        <f>VALUE(CONCATENATE("0",3.45))+VALUE(CONCATENATE("0","0.000000"))-VALUE(CONCATENATE("0",0))-VALUE(CONCATENATE("0",0))-VALUE(CONCATENATE("0",3.45))-VALUE(CONCATENATE("0",0))-VALUE(CONCATENATE("0",0))-VALUE(CONCATENATE("0","0.000000"))</f>
        <v>0</v>
      </c>
      <c r="P152" s="6">
        <v>1</v>
      </c>
    </row>
    <row r="153" spans="1:16" ht="29.1" customHeight="1">
      <c r="A153" s="5" t="s">
        <v>513</v>
      </c>
      <c r="B153" s="10">
        <v>151</v>
      </c>
      <c r="C153" s="13" t="s">
        <v>512</v>
      </c>
      <c r="D153" s="9" t="s">
        <v>511</v>
      </c>
      <c r="E153" s="9" t="s">
        <v>112</v>
      </c>
      <c r="F153" s="9" t="s">
        <v>89</v>
      </c>
      <c r="G153" s="8">
        <f>VALUE(CONCATENATE("0",3.14))</f>
        <v>3.14</v>
      </c>
      <c r="H153" s="8">
        <f t="shared" si="20"/>
        <v>0</v>
      </c>
      <c r="I153" s="8">
        <f>VALUE(CONCATENATE("0",3.14))</f>
        <v>3.14</v>
      </c>
      <c r="J153" s="8">
        <f t="shared" si="23"/>
        <v>0</v>
      </c>
      <c r="K153" s="8">
        <f>VALUE(CONCATENATE("0",0))</f>
        <v>0</v>
      </c>
      <c r="L153" s="8">
        <f t="shared" si="25"/>
        <v>0</v>
      </c>
      <c r="M153" s="8">
        <f t="shared" si="26"/>
        <v>0</v>
      </c>
      <c r="N153" s="8">
        <f t="shared" si="26"/>
        <v>0</v>
      </c>
      <c r="O153" s="7">
        <f>VALUE(CONCATENATE("0",3.14))+VALUE(CONCATENATE("0","0.000000"))-VALUE(CONCATENATE("0",0))-VALUE(CONCATENATE("0",0))-VALUE(CONCATENATE("0",3.14))-VALUE(CONCATENATE("0",0))-VALUE(CONCATENATE("0",0))-VALUE(CONCATENATE("0","0.000000"))</f>
        <v>0</v>
      </c>
      <c r="P153" s="6">
        <v>1</v>
      </c>
    </row>
    <row r="154" spans="1:16" ht="29.1" customHeight="1">
      <c r="A154" s="5" t="s">
        <v>510</v>
      </c>
      <c r="B154" s="10">
        <v>152</v>
      </c>
      <c r="C154" s="13" t="s">
        <v>509</v>
      </c>
      <c r="D154" s="9" t="s">
        <v>508</v>
      </c>
      <c r="E154" s="9" t="s">
        <v>69</v>
      </c>
      <c r="F154" s="9" t="s">
        <v>307</v>
      </c>
      <c r="G154" s="8">
        <f>VALUE(CONCATENATE("0",3))</f>
        <v>3</v>
      </c>
      <c r="H154" s="8">
        <f t="shared" si="20"/>
        <v>0</v>
      </c>
      <c r="I154" s="8">
        <f>VALUE(CONCATENATE("0",0))</f>
        <v>0</v>
      </c>
      <c r="J154" s="8">
        <f t="shared" si="23"/>
        <v>0</v>
      </c>
      <c r="K154" s="8">
        <f>VALUE(CONCATENATE("0",0))</f>
        <v>0</v>
      </c>
      <c r="L154" s="8">
        <f>VALUE(CONCATENATE("0",3))</f>
        <v>3</v>
      </c>
      <c r="M154" s="8">
        <f t="shared" si="26"/>
        <v>0</v>
      </c>
      <c r="N154" s="8">
        <f t="shared" si="26"/>
        <v>0</v>
      </c>
      <c r="O154" s="7">
        <f>VALUE(CONCATENATE("0",3))+VALUE(CONCATENATE("0","0.000000"))-VALUE(CONCATENATE("0",0))-VALUE(CONCATENATE("0",0))-VALUE(CONCATENATE("0",0))-VALUE(CONCATENATE("0",0))-VALUE(CONCATENATE("0",3))-VALUE(CONCATENATE("0","0.000000"))</f>
        <v>0</v>
      </c>
      <c r="P154" s="6">
        <v>0</v>
      </c>
    </row>
    <row r="155" spans="1:16" ht="24.95" customHeight="1">
      <c r="A155" s="5" t="s">
        <v>507</v>
      </c>
      <c r="B155" s="10">
        <v>153</v>
      </c>
      <c r="C155" s="13" t="s">
        <v>506</v>
      </c>
      <c r="D155" s="9" t="s">
        <v>505</v>
      </c>
      <c r="E155" s="9" t="s">
        <v>73</v>
      </c>
      <c r="F155" s="9" t="s">
        <v>83</v>
      </c>
      <c r="G155" s="8">
        <f>VALUE(CONCATENATE("0",3))</f>
        <v>3</v>
      </c>
      <c r="H155" s="8">
        <f t="shared" si="20"/>
        <v>0</v>
      </c>
      <c r="I155" s="8">
        <f>VALUE(CONCATENATE("0",0))</f>
        <v>0</v>
      </c>
      <c r="J155" s="8">
        <f t="shared" si="23"/>
        <v>0</v>
      </c>
      <c r="K155" s="8">
        <f>VALUE(CONCATENATE("0",3))</f>
        <v>3</v>
      </c>
      <c r="L155" s="8">
        <f>VALUE(CONCATENATE("0",0))</f>
        <v>0</v>
      </c>
      <c r="M155" s="8">
        <f t="shared" si="26"/>
        <v>0</v>
      </c>
      <c r="N155" s="8">
        <f t="shared" si="26"/>
        <v>0</v>
      </c>
      <c r="O155" s="7">
        <f>VALUE(CONCATENATE("0",3))+VALUE(CONCATENATE("0","0.000000"))-VALUE(CONCATENATE("0",0))-VALUE(CONCATENATE("0",0))-VALUE(CONCATENATE("0",0))-VALUE(CONCATENATE("0",3))-VALUE(CONCATENATE("0",0))-VALUE(CONCATENATE("0","0.000000"))</f>
        <v>0</v>
      </c>
      <c r="P155" s="6">
        <v>1</v>
      </c>
    </row>
    <row r="156" spans="1:16" ht="29.1" customHeight="1">
      <c r="A156" s="5" t="s">
        <v>504</v>
      </c>
      <c r="B156" s="10">
        <v>154</v>
      </c>
      <c r="C156" s="13" t="s">
        <v>503</v>
      </c>
      <c r="D156" s="9" t="s">
        <v>495</v>
      </c>
      <c r="E156" s="9" t="s">
        <v>96</v>
      </c>
      <c r="F156" s="9" t="s">
        <v>224</v>
      </c>
      <c r="G156" s="8">
        <f>VALUE(CONCATENATE("0",3))</f>
        <v>3</v>
      </c>
      <c r="H156" s="8">
        <f t="shared" si="20"/>
        <v>0</v>
      </c>
      <c r="I156" s="8">
        <f>VALUE(CONCATENATE("0",0))</f>
        <v>0</v>
      </c>
      <c r="J156" s="8">
        <f t="shared" si="23"/>
        <v>0</v>
      </c>
      <c r="K156" s="8">
        <f>VALUE(CONCATENATE("0",3))</f>
        <v>3</v>
      </c>
      <c r="L156" s="8">
        <f>VALUE(CONCATENATE("0",0))</f>
        <v>0</v>
      </c>
      <c r="M156" s="8">
        <f t="shared" si="26"/>
        <v>0</v>
      </c>
      <c r="N156" s="8">
        <f t="shared" si="26"/>
        <v>0</v>
      </c>
      <c r="O156" s="7">
        <f>VALUE(CONCATENATE("0",3))+VALUE(CONCATENATE("0","0.000000"))-VALUE(CONCATENATE("0",0))-VALUE(CONCATENATE("0",0))-VALUE(CONCATENATE("0",0))-VALUE(CONCATENATE("0",3))-VALUE(CONCATENATE("0",0))-VALUE(CONCATENATE("0","0.000000"))</f>
        <v>0</v>
      </c>
      <c r="P156" s="6">
        <v>1</v>
      </c>
    </row>
    <row r="157" spans="1:16" ht="29.1" customHeight="1">
      <c r="A157" s="5" t="s">
        <v>502</v>
      </c>
      <c r="B157" s="10">
        <v>155</v>
      </c>
      <c r="C157" s="13" t="s">
        <v>501</v>
      </c>
      <c r="D157" s="9" t="s">
        <v>418</v>
      </c>
      <c r="E157" s="9" t="s">
        <v>69</v>
      </c>
      <c r="F157" s="9" t="s">
        <v>307</v>
      </c>
      <c r="G157" s="8">
        <f>VALUE(CONCATENATE("0",3))</f>
        <v>3</v>
      </c>
      <c r="H157" s="8">
        <f t="shared" si="20"/>
        <v>0</v>
      </c>
      <c r="I157" s="8">
        <f>VALUE(CONCATENATE("0",0))</f>
        <v>0</v>
      </c>
      <c r="J157" s="8">
        <f t="shared" si="23"/>
        <v>0</v>
      </c>
      <c r="K157" s="8">
        <f>VALUE(CONCATENATE("0",0))</f>
        <v>0</v>
      </c>
      <c r="L157" s="8">
        <f>VALUE(CONCATENATE("0",3))</f>
        <v>3</v>
      </c>
      <c r="M157" s="8">
        <f t="shared" si="26"/>
        <v>0</v>
      </c>
      <c r="N157" s="8">
        <f t="shared" si="26"/>
        <v>0</v>
      </c>
      <c r="O157" s="7">
        <f>VALUE(CONCATENATE("0",3))+VALUE(CONCATENATE("0","0.000000"))-VALUE(CONCATENATE("0",0))-VALUE(CONCATENATE("0",0))-VALUE(CONCATENATE("0",0))-VALUE(CONCATENATE("0",0))-VALUE(CONCATENATE("0",3))-VALUE(CONCATENATE("0","0.000000"))</f>
        <v>0</v>
      </c>
      <c r="P157" s="6">
        <v>0</v>
      </c>
    </row>
    <row r="158" spans="1:16" ht="29.1" customHeight="1">
      <c r="A158" s="5" t="s">
        <v>500</v>
      </c>
      <c r="B158" s="10">
        <v>156</v>
      </c>
      <c r="C158" s="13" t="s">
        <v>499</v>
      </c>
      <c r="D158" s="9" t="s">
        <v>498</v>
      </c>
      <c r="E158" s="9" t="s">
        <v>73</v>
      </c>
      <c r="F158" s="9" t="s">
        <v>89</v>
      </c>
      <c r="G158" s="8">
        <f>VALUE(CONCATENATE("0",2.89))</f>
        <v>2.89</v>
      </c>
      <c r="H158" s="8">
        <f t="shared" si="20"/>
        <v>0</v>
      </c>
      <c r="I158" s="8">
        <f>VALUE(CONCATENATE("0",2.89))</f>
        <v>2.89</v>
      </c>
      <c r="J158" s="8">
        <f t="shared" si="23"/>
        <v>0</v>
      </c>
      <c r="K158" s="8">
        <f>VALUE(CONCATENATE("0",0))</f>
        <v>0</v>
      </c>
      <c r="L158" s="8">
        <f>VALUE(CONCATENATE("0",0))</f>
        <v>0</v>
      </c>
      <c r="M158" s="8">
        <f t="shared" si="26"/>
        <v>0</v>
      </c>
      <c r="N158" s="8">
        <f t="shared" si="26"/>
        <v>0</v>
      </c>
      <c r="O158" s="7">
        <f>VALUE(CONCATENATE("0",2.89))+VALUE(CONCATENATE("0","0.000000"))-VALUE(CONCATENATE("0",0))-VALUE(CONCATENATE("0",0))-VALUE(CONCATENATE("0",2.89))-VALUE(CONCATENATE("0",0))-VALUE(CONCATENATE("0",0))-VALUE(CONCATENATE("0","0.000000"))</f>
        <v>0</v>
      </c>
      <c r="P158" s="6">
        <v>1</v>
      </c>
    </row>
    <row r="159" spans="1:16" ht="29.1" customHeight="1">
      <c r="A159" s="5" t="s">
        <v>497</v>
      </c>
      <c r="B159" s="10">
        <v>157</v>
      </c>
      <c r="C159" s="13" t="s">
        <v>496</v>
      </c>
      <c r="D159" s="9" t="s">
        <v>495</v>
      </c>
      <c r="E159" s="9" t="s">
        <v>112</v>
      </c>
      <c r="F159" s="9" t="s">
        <v>83</v>
      </c>
      <c r="G159" s="8">
        <f>VALUE(CONCATENATE("0",2.83))</f>
        <v>2.83</v>
      </c>
      <c r="H159" s="8">
        <f t="shared" si="20"/>
        <v>0</v>
      </c>
      <c r="I159" s="8">
        <f>VALUE(CONCATENATE("0",0))</f>
        <v>0</v>
      </c>
      <c r="J159" s="8">
        <f t="shared" si="23"/>
        <v>0</v>
      </c>
      <c r="K159" s="8">
        <f>VALUE(CONCATENATE("0",2.09))</f>
        <v>2.09</v>
      </c>
      <c r="L159" s="8">
        <f>VALUE(CONCATENATE("0",0))</f>
        <v>0</v>
      </c>
      <c r="M159" s="8">
        <f>VALUE(CONCATENATE("0","0.740000"))</f>
        <v>0.74</v>
      </c>
      <c r="N159" s="8">
        <f>VALUE(CONCATENATE("0","0.000000"))</f>
        <v>0</v>
      </c>
      <c r="O159" s="7">
        <f>VALUE(CONCATENATE("0",2.83))+VALUE(CONCATENATE("0","0.000000"))-VALUE(CONCATENATE("0",0))-VALUE(CONCATENATE("0",0))-VALUE(CONCATENATE("0",0))-VALUE(CONCATENATE("0",2.09))-VALUE(CONCATENATE("0",0))-VALUE(CONCATENATE("0","0.740000"))</f>
        <v>0</v>
      </c>
      <c r="P159" s="6">
        <v>0.73851590106007059</v>
      </c>
    </row>
    <row r="160" spans="1:16" ht="29.1" customHeight="1">
      <c r="A160" s="5" t="s">
        <v>494</v>
      </c>
      <c r="B160" s="10">
        <v>158</v>
      </c>
      <c r="C160" s="13" t="s">
        <v>493</v>
      </c>
      <c r="D160" s="9" t="s">
        <v>492</v>
      </c>
      <c r="E160" s="9" t="s">
        <v>96</v>
      </c>
      <c r="F160" s="9" t="s">
        <v>89</v>
      </c>
      <c r="G160" s="8">
        <f>VALUE(CONCATENATE("0",2.72))</f>
        <v>2.72</v>
      </c>
      <c r="H160" s="8">
        <f t="shared" si="20"/>
        <v>0</v>
      </c>
      <c r="I160" s="8">
        <f>VALUE(CONCATENATE("0",2.72))</f>
        <v>2.72</v>
      </c>
      <c r="J160" s="8">
        <f t="shared" si="23"/>
        <v>0</v>
      </c>
      <c r="K160" s="8">
        <f>VALUE(CONCATENATE("0",0))</f>
        <v>0</v>
      </c>
      <c r="L160" s="8">
        <f>VALUE(CONCATENATE("0",0))</f>
        <v>0</v>
      </c>
      <c r="M160" s="8">
        <f>VALUE(CONCATENATE("0","0.000000"))</f>
        <v>0</v>
      </c>
      <c r="N160" s="8">
        <f>VALUE(CONCATENATE("0","0.000000"))</f>
        <v>0</v>
      </c>
      <c r="O160" s="7">
        <f>VALUE(CONCATENATE("0",2.72))+VALUE(CONCATENATE("0","0.000000"))-VALUE(CONCATENATE("0",0))-VALUE(CONCATENATE("0",0))-VALUE(CONCATENATE("0",2.72))-VALUE(CONCATENATE("0",0))-VALUE(CONCATENATE("0",0))-VALUE(CONCATENATE("0","0.000000"))</f>
        <v>0</v>
      </c>
      <c r="P160" s="6">
        <v>1</v>
      </c>
    </row>
    <row r="161" spans="1:16" ht="29.1" customHeight="1">
      <c r="A161" s="5" t="s">
        <v>491</v>
      </c>
      <c r="B161" s="10">
        <v>159</v>
      </c>
      <c r="C161" s="13" t="s">
        <v>490</v>
      </c>
      <c r="D161" s="9" t="s">
        <v>489</v>
      </c>
      <c r="E161" s="9" t="s">
        <v>65</v>
      </c>
      <c r="F161" s="9" t="s">
        <v>382</v>
      </c>
      <c r="G161" s="8">
        <f>VALUE(CONCATENATE("0",2.69))</f>
        <v>2.69</v>
      </c>
      <c r="H161" s="8">
        <f t="shared" si="20"/>
        <v>0</v>
      </c>
      <c r="I161" s="8">
        <f>VALUE(CONCATENATE("0",1.19))</f>
        <v>1.19</v>
      </c>
      <c r="J161" s="8">
        <f t="shared" si="23"/>
        <v>0</v>
      </c>
      <c r="K161" s="8">
        <f>VALUE(CONCATENATE("0",0))</f>
        <v>0</v>
      </c>
      <c r="L161" s="8">
        <f>VALUE(CONCATENATE("0",1.5))</f>
        <v>1.5</v>
      </c>
      <c r="M161" s="8">
        <f>VALUE(CONCATENATE("0","0.000000"))</f>
        <v>0</v>
      </c>
      <c r="N161" s="8">
        <f>VALUE(CONCATENATE("0","0.000000"))</f>
        <v>0</v>
      </c>
      <c r="O161" s="7">
        <f>VALUE(CONCATENATE("0",2.69))+VALUE(CONCATENATE("0","0.000000"))-VALUE(CONCATENATE("0",0))-VALUE(CONCATENATE("0",0))-VALUE(CONCATENATE("0",1.19))-VALUE(CONCATENATE("0",0))-VALUE(CONCATENATE("0",1.5))-VALUE(CONCATENATE("0","0.000000"))</f>
        <v>0</v>
      </c>
      <c r="P161" s="6">
        <v>0.44237918215613381</v>
      </c>
    </row>
    <row r="162" spans="1:16" ht="29.1" customHeight="1">
      <c r="A162" s="5" t="s">
        <v>488</v>
      </c>
      <c r="B162" s="10">
        <v>160</v>
      </c>
      <c r="C162" s="13" t="s">
        <v>487</v>
      </c>
      <c r="D162" s="9" t="s">
        <v>486</v>
      </c>
      <c r="E162" s="9" t="s">
        <v>73</v>
      </c>
      <c r="F162" s="9" t="s">
        <v>83</v>
      </c>
      <c r="G162" s="8">
        <f>VALUE(CONCATENATE("0",2.682))</f>
        <v>2.6819999999999999</v>
      </c>
      <c r="H162" s="8">
        <f t="shared" si="20"/>
        <v>0</v>
      </c>
      <c r="I162" s="8">
        <f>VALUE(CONCATENATE("0",0))</f>
        <v>0</v>
      </c>
      <c r="J162" s="8">
        <f t="shared" si="23"/>
        <v>0</v>
      </c>
      <c r="K162" s="8">
        <f>VALUE(CONCATENATE("0",3.74))</f>
        <v>3.74</v>
      </c>
      <c r="L162" s="8">
        <f t="shared" ref="L162:L184" si="27">VALUE(CONCATENATE("0",0))</f>
        <v>0</v>
      </c>
      <c r="M162" s="8">
        <f>VALUE(CONCATENATE("0","0.000000"))</f>
        <v>0</v>
      </c>
      <c r="N162" s="8">
        <f>VALUE(CONCATENATE("0","1.058000"))</f>
        <v>1.0580000000000001</v>
      </c>
      <c r="O162" s="7">
        <f>VALUE(CONCATENATE("0",2.682))+VALUE(CONCATENATE("0","1.058000"))-VALUE(CONCATENATE("0",0))-VALUE(CONCATENATE("0",0))-VALUE(CONCATENATE("0",0))-VALUE(CONCATENATE("0",3.74))-VALUE(CONCATENATE("0",0))-VALUE(CONCATENATE("0","0.000000"))</f>
        <v>0</v>
      </c>
      <c r="P162" s="6">
        <v>1</v>
      </c>
    </row>
    <row r="163" spans="1:16" ht="29.1" customHeight="1">
      <c r="A163" s="5" t="s">
        <v>485</v>
      </c>
      <c r="B163" s="10">
        <v>161</v>
      </c>
      <c r="C163" s="13" t="s">
        <v>484</v>
      </c>
      <c r="D163" s="9" t="s">
        <v>483</v>
      </c>
      <c r="E163" s="9" t="s">
        <v>65</v>
      </c>
      <c r="F163" s="9" t="s">
        <v>80</v>
      </c>
      <c r="G163" s="8">
        <f>VALUE(CONCATENATE("0",2.52))</f>
        <v>2.52</v>
      </c>
      <c r="H163" s="8">
        <f t="shared" si="20"/>
        <v>0</v>
      </c>
      <c r="I163" s="8">
        <f>VALUE(CONCATENATE("0",0))</f>
        <v>0</v>
      </c>
      <c r="J163" s="8">
        <f t="shared" si="23"/>
        <v>0</v>
      </c>
      <c r="K163" s="8">
        <f>VALUE(CONCATENATE("0",2.52))</f>
        <v>2.52</v>
      </c>
      <c r="L163" s="8">
        <f t="shared" si="27"/>
        <v>0</v>
      </c>
      <c r="M163" s="8">
        <f>VALUE(CONCATENATE("0","0.000000"))</f>
        <v>0</v>
      </c>
      <c r="N163" s="8">
        <f>VALUE(CONCATENATE("0","0.000000"))</f>
        <v>0</v>
      </c>
      <c r="O163" s="7">
        <f>VALUE(CONCATENATE("0",2.52))+VALUE(CONCATENATE("0","0.000000"))-VALUE(CONCATENATE("0",0))-VALUE(CONCATENATE("0",0))-VALUE(CONCATENATE("0",0))-VALUE(CONCATENATE("0",2.52))-VALUE(CONCATENATE("0",0))-VALUE(CONCATENATE("0","0.000000"))</f>
        <v>0</v>
      </c>
      <c r="P163" s="6">
        <v>1</v>
      </c>
    </row>
    <row r="164" spans="1:16" ht="29.1" customHeight="1">
      <c r="A164" s="5" t="s">
        <v>482</v>
      </c>
      <c r="B164" s="10">
        <v>162</v>
      </c>
      <c r="C164" s="13" t="s">
        <v>481</v>
      </c>
      <c r="D164" s="9" t="s">
        <v>480</v>
      </c>
      <c r="E164" s="9" t="s">
        <v>112</v>
      </c>
      <c r="F164" s="9" t="s">
        <v>83</v>
      </c>
      <c r="G164" s="8">
        <f>VALUE(CONCATENATE("0",2.49))</f>
        <v>2.4900000000000002</v>
      </c>
      <c r="H164" s="8">
        <f t="shared" si="20"/>
        <v>0</v>
      </c>
      <c r="I164" s="8">
        <f>VALUE(CONCATENATE("0",4.4))</f>
        <v>4.4000000000000004</v>
      </c>
      <c r="J164" s="8">
        <f t="shared" si="23"/>
        <v>0</v>
      </c>
      <c r="K164" s="8">
        <f>VALUE(CONCATENATE("0",5))</f>
        <v>5</v>
      </c>
      <c r="L164" s="8">
        <f t="shared" si="27"/>
        <v>0</v>
      </c>
      <c r="M164" s="8">
        <f>VALUE(CONCATENATE("0","0.000000"))</f>
        <v>0</v>
      </c>
      <c r="N164" s="8">
        <f>VALUE(CONCATENATE("0","6.910000"))</f>
        <v>6.91</v>
      </c>
      <c r="O164" s="7">
        <f>VALUE(CONCATENATE("0",2.49))+VALUE(CONCATENATE("0","6.910000"))-VALUE(CONCATENATE("0",0))-VALUE(CONCATENATE("0",0))-VALUE(CONCATENATE("0",4.4))-VALUE(CONCATENATE("0",5))-VALUE(CONCATENATE("0",0))-VALUE(CONCATENATE("0","0.000000"))</f>
        <v>0</v>
      </c>
      <c r="P164" s="6">
        <v>1</v>
      </c>
    </row>
    <row r="165" spans="1:16" ht="29.1" customHeight="1">
      <c r="A165" s="5" t="s">
        <v>479</v>
      </c>
      <c r="B165" s="10">
        <v>163</v>
      </c>
      <c r="C165" s="13" t="s">
        <v>478</v>
      </c>
      <c r="D165" s="9" t="s">
        <v>477</v>
      </c>
      <c r="E165" s="9" t="s">
        <v>65</v>
      </c>
      <c r="F165" s="9" t="s">
        <v>147</v>
      </c>
      <c r="G165" s="8">
        <f>VALUE(CONCATENATE("0",2.4))</f>
        <v>2.4</v>
      </c>
      <c r="H165" s="8">
        <f t="shared" si="20"/>
        <v>0</v>
      </c>
      <c r="I165" s="8">
        <f>VALUE(CONCATENATE("0",0))</f>
        <v>0</v>
      </c>
      <c r="J165" s="8">
        <f t="shared" si="23"/>
        <v>0</v>
      </c>
      <c r="K165" s="8">
        <f>VALUE(CONCATENATE("0",0))</f>
        <v>0</v>
      </c>
      <c r="L165" s="8">
        <f t="shared" si="27"/>
        <v>0</v>
      </c>
      <c r="M165" s="8">
        <f>VALUE(CONCATENATE("0","4.740000"))</f>
        <v>4.74</v>
      </c>
      <c r="N165" s="8">
        <f>VALUE(CONCATENATE("0","2.340000"))</f>
        <v>2.34</v>
      </c>
      <c r="O165" s="7">
        <f>VALUE(CONCATENATE("0",2.4))+VALUE(CONCATENATE("0","2.340000"))-VALUE(CONCATENATE("0",0))-VALUE(CONCATENATE("0",0))-VALUE(CONCATENATE("0",0))-VALUE(CONCATENATE("0",0))-VALUE(CONCATENATE("0",0))-VALUE(CONCATENATE("0","4.740000"))</f>
        <v>0</v>
      </c>
      <c r="P165" s="6">
        <v>0</v>
      </c>
    </row>
    <row r="166" spans="1:16" ht="29.1" customHeight="1">
      <c r="A166" s="5" t="s">
        <v>476</v>
      </c>
      <c r="B166" s="10">
        <v>164</v>
      </c>
      <c r="C166" s="13" t="s">
        <v>475</v>
      </c>
      <c r="D166" s="9" t="s">
        <v>474</v>
      </c>
      <c r="E166" s="9" t="s">
        <v>73</v>
      </c>
      <c r="F166" s="9" t="s">
        <v>89</v>
      </c>
      <c r="G166" s="8">
        <f>VALUE(CONCATENATE("0",2.4))</f>
        <v>2.4</v>
      </c>
      <c r="H166" s="8">
        <f t="shared" si="20"/>
        <v>0</v>
      </c>
      <c r="I166" s="8">
        <f>VALUE(CONCATENATE("0",1.21))</f>
        <v>1.21</v>
      </c>
      <c r="J166" s="8">
        <f t="shared" si="23"/>
        <v>0</v>
      </c>
      <c r="K166" s="8">
        <f>VALUE(CONCATENATE("0",0))</f>
        <v>0</v>
      </c>
      <c r="L166" s="8">
        <f t="shared" si="27"/>
        <v>0</v>
      </c>
      <c r="M166" s="8">
        <f>VALUE(CONCATENATE("0","1.190000"))</f>
        <v>1.19</v>
      </c>
      <c r="N166" s="8">
        <f t="shared" ref="N166:N174" si="28">VALUE(CONCATENATE("0","0.000000"))</f>
        <v>0</v>
      </c>
      <c r="O166" s="7">
        <f>VALUE(CONCATENATE("0",2.4))+VALUE(CONCATENATE("0","0.000000"))-VALUE(CONCATENATE("0",0))-VALUE(CONCATENATE("0",0))-VALUE(CONCATENATE("0",1.21))-VALUE(CONCATENATE("0",0))-VALUE(CONCATENATE("0",0))-VALUE(CONCATENATE("0","1.190000"))</f>
        <v>0</v>
      </c>
      <c r="P166" s="6">
        <v>0.50416666666666665</v>
      </c>
    </row>
    <row r="167" spans="1:16" ht="29.1" customHeight="1">
      <c r="A167" s="5" t="s">
        <v>473</v>
      </c>
      <c r="B167" s="10">
        <v>165</v>
      </c>
      <c r="C167" s="13" t="s">
        <v>472</v>
      </c>
      <c r="D167" s="9" t="s">
        <v>471</v>
      </c>
      <c r="E167" s="9" t="s">
        <v>96</v>
      </c>
      <c r="F167" s="9" t="s">
        <v>89</v>
      </c>
      <c r="G167" s="8">
        <f>VALUE(CONCATENATE("0",2.38))</f>
        <v>2.38</v>
      </c>
      <c r="H167" s="8">
        <f t="shared" si="20"/>
        <v>0</v>
      </c>
      <c r="I167" s="8">
        <f>VALUE(CONCATENATE("0",2.38))</f>
        <v>2.38</v>
      </c>
      <c r="J167" s="8">
        <f t="shared" si="23"/>
        <v>0</v>
      </c>
      <c r="K167" s="8">
        <f>VALUE(CONCATENATE("0",0))</f>
        <v>0</v>
      </c>
      <c r="L167" s="8">
        <f t="shared" si="27"/>
        <v>0</v>
      </c>
      <c r="M167" s="8">
        <f>VALUE(CONCATENATE("0","0.000000"))</f>
        <v>0</v>
      </c>
      <c r="N167" s="8">
        <f t="shared" si="28"/>
        <v>0</v>
      </c>
      <c r="O167" s="7">
        <f>VALUE(CONCATENATE("0",2.38))+VALUE(CONCATENATE("0","0.000000"))-VALUE(CONCATENATE("0",0))-VALUE(CONCATENATE("0",0))-VALUE(CONCATENATE("0",2.38))-VALUE(CONCATENATE("0",0))-VALUE(CONCATENATE("0",0))-VALUE(CONCATENATE("0","0.000000"))</f>
        <v>0</v>
      </c>
      <c r="P167" s="6">
        <v>1</v>
      </c>
    </row>
    <row r="168" spans="1:16" ht="24.95" customHeight="1">
      <c r="A168" s="5" t="s">
        <v>470</v>
      </c>
      <c r="B168" s="10">
        <v>166</v>
      </c>
      <c r="C168" s="13" t="s">
        <v>469</v>
      </c>
      <c r="D168" s="9" t="s">
        <v>468</v>
      </c>
      <c r="E168" s="9" t="s">
        <v>67</v>
      </c>
      <c r="F168" s="9" t="s">
        <v>83</v>
      </c>
      <c r="G168" s="8">
        <f>VALUE(CONCATENATE("0",2.36))</f>
        <v>2.36</v>
      </c>
      <c r="H168" s="8">
        <f t="shared" ref="H168:H199" si="29">VALUE(CONCATENATE("0",0))</f>
        <v>0</v>
      </c>
      <c r="I168" s="8">
        <f>VALUE(CONCATENATE("0",0))</f>
        <v>0</v>
      </c>
      <c r="J168" s="8">
        <f t="shared" si="23"/>
        <v>0</v>
      </c>
      <c r="K168" s="8">
        <f>VALUE(CONCATENATE("0",2.36))</f>
        <v>2.36</v>
      </c>
      <c r="L168" s="8">
        <f t="shared" si="27"/>
        <v>0</v>
      </c>
      <c r="M168" s="8">
        <f>VALUE(CONCATENATE("0","0.000000"))</f>
        <v>0</v>
      </c>
      <c r="N168" s="8">
        <f t="shared" si="28"/>
        <v>0</v>
      </c>
      <c r="O168" s="7">
        <f>VALUE(CONCATENATE("0",2.36))+VALUE(CONCATENATE("0","0.000000"))-VALUE(CONCATENATE("0",0))-VALUE(CONCATENATE("0",0))-VALUE(CONCATENATE("0",0))-VALUE(CONCATENATE("0",2.36))-VALUE(CONCATENATE("0",0))-VALUE(CONCATENATE("0","0.000000"))</f>
        <v>0</v>
      </c>
      <c r="P168" s="6">
        <v>1</v>
      </c>
    </row>
    <row r="169" spans="1:16" ht="29.1" customHeight="1">
      <c r="A169" s="5" t="s">
        <v>467</v>
      </c>
      <c r="B169" s="10">
        <v>167</v>
      </c>
      <c r="C169" s="13" t="s">
        <v>466</v>
      </c>
      <c r="D169" s="9" t="s">
        <v>465</v>
      </c>
      <c r="E169" s="9" t="s">
        <v>112</v>
      </c>
      <c r="F169" s="9" t="s">
        <v>83</v>
      </c>
      <c r="G169" s="8">
        <f>VALUE(CONCATENATE("0",2.342))</f>
        <v>2.3420000000000001</v>
      </c>
      <c r="H169" s="8">
        <f t="shared" si="29"/>
        <v>0</v>
      </c>
      <c r="I169" s="8">
        <f>VALUE(CONCATENATE("0",0))</f>
        <v>0</v>
      </c>
      <c r="J169" s="8">
        <f t="shared" si="23"/>
        <v>0</v>
      </c>
      <c r="K169" s="8">
        <f>VALUE(CONCATENATE("0",1.322))</f>
        <v>1.3220000000000001</v>
      </c>
      <c r="L169" s="8">
        <f t="shared" si="27"/>
        <v>0</v>
      </c>
      <c r="M169" s="8">
        <f>VALUE(CONCATENATE("0","1.020000"))</f>
        <v>1.02</v>
      </c>
      <c r="N169" s="8">
        <f t="shared" si="28"/>
        <v>0</v>
      </c>
      <c r="O169" s="7">
        <f>VALUE(CONCATENATE("0",2.342))+VALUE(CONCATENATE("0","0.000000"))-VALUE(CONCATENATE("0",0))-VALUE(CONCATENATE("0",0))-VALUE(CONCATENATE("0",0))-VALUE(CONCATENATE("0",1.322))-VALUE(CONCATENATE("0",0))-VALUE(CONCATENATE("0","1.020000"))</f>
        <v>0</v>
      </c>
      <c r="P169" s="6">
        <v>0.56447480785653292</v>
      </c>
    </row>
    <row r="170" spans="1:16" ht="29.1" customHeight="1">
      <c r="A170" s="5" t="s">
        <v>464</v>
      </c>
      <c r="B170" s="10">
        <v>168</v>
      </c>
      <c r="C170" s="13" t="s">
        <v>463</v>
      </c>
      <c r="D170" s="9" t="s">
        <v>462</v>
      </c>
      <c r="E170" s="9" t="s">
        <v>67</v>
      </c>
      <c r="F170" s="9" t="s">
        <v>83</v>
      </c>
      <c r="G170" s="8">
        <f>VALUE(CONCATENATE("0",2.3))</f>
        <v>2.2999999999999998</v>
      </c>
      <c r="H170" s="8">
        <f t="shared" si="29"/>
        <v>0</v>
      </c>
      <c r="I170" s="8">
        <f>VALUE(CONCATENATE("0",2.3))</f>
        <v>2.2999999999999998</v>
      </c>
      <c r="J170" s="8">
        <f t="shared" si="23"/>
        <v>0</v>
      </c>
      <c r="K170" s="8">
        <f>VALUE(CONCATENATE("0",0))</f>
        <v>0</v>
      </c>
      <c r="L170" s="8">
        <f t="shared" si="27"/>
        <v>0</v>
      </c>
      <c r="M170" s="8">
        <f>VALUE(CONCATENATE("0","0.000000"))</f>
        <v>0</v>
      </c>
      <c r="N170" s="8">
        <f t="shared" si="28"/>
        <v>0</v>
      </c>
      <c r="O170" s="7">
        <f>VALUE(CONCATENATE("0",2.3))+VALUE(CONCATENATE("0","0.000000"))-VALUE(CONCATENATE("0",0))-VALUE(CONCATENATE("0",0))-VALUE(CONCATENATE("0",2.3))-VALUE(CONCATENATE("0",0))-VALUE(CONCATENATE("0",0))-VALUE(CONCATENATE("0","0.000000"))</f>
        <v>0</v>
      </c>
      <c r="P170" s="6">
        <v>1</v>
      </c>
    </row>
    <row r="171" spans="1:16" ht="24.95" customHeight="1">
      <c r="A171" s="5" t="s">
        <v>461</v>
      </c>
      <c r="B171" s="10">
        <v>169</v>
      </c>
      <c r="C171" s="13" t="s">
        <v>460</v>
      </c>
      <c r="D171" s="9" t="s">
        <v>459</v>
      </c>
      <c r="E171" s="9" t="s">
        <v>69</v>
      </c>
      <c r="F171" s="9" t="s">
        <v>83</v>
      </c>
      <c r="G171" s="8">
        <f>VALUE(CONCATENATE("0",2.3))</f>
        <v>2.2999999999999998</v>
      </c>
      <c r="H171" s="8">
        <f t="shared" si="29"/>
        <v>0</v>
      </c>
      <c r="I171" s="8">
        <f>VALUE(CONCATENATE("0",0))</f>
        <v>0</v>
      </c>
      <c r="J171" s="8">
        <f t="shared" si="23"/>
        <v>0</v>
      </c>
      <c r="K171" s="8">
        <f>VALUE(CONCATENATE("0",2.3))</f>
        <v>2.2999999999999998</v>
      </c>
      <c r="L171" s="8">
        <f t="shared" si="27"/>
        <v>0</v>
      </c>
      <c r="M171" s="8">
        <f>VALUE(CONCATENATE("0","0.000000"))</f>
        <v>0</v>
      </c>
      <c r="N171" s="8">
        <f t="shared" si="28"/>
        <v>0</v>
      </c>
      <c r="O171" s="7">
        <f>VALUE(CONCATENATE("0",2.3))+VALUE(CONCATENATE("0","0.000000"))-VALUE(CONCATENATE("0",0))-VALUE(CONCATENATE("0",0))-VALUE(CONCATENATE("0",0))-VALUE(CONCATENATE("0",2.3))-VALUE(CONCATENATE("0",0))-VALUE(CONCATENATE("0","0.000000"))</f>
        <v>0</v>
      </c>
      <c r="P171" s="6">
        <v>1</v>
      </c>
    </row>
    <row r="172" spans="1:16" ht="29.1" customHeight="1">
      <c r="A172" s="5" t="s">
        <v>458</v>
      </c>
      <c r="B172" s="10">
        <v>170</v>
      </c>
      <c r="C172" s="13" t="s">
        <v>457</v>
      </c>
      <c r="D172" s="9" t="s">
        <v>456</v>
      </c>
      <c r="E172" s="9" t="s">
        <v>65</v>
      </c>
      <c r="F172" s="9" t="s">
        <v>83</v>
      </c>
      <c r="G172" s="8">
        <f>VALUE(CONCATENATE("0",2.22))</f>
        <v>2.2200000000000002</v>
      </c>
      <c r="H172" s="8">
        <f t="shared" si="29"/>
        <v>0</v>
      </c>
      <c r="I172" s="8">
        <f>VALUE(CONCATENATE("0",0))</f>
        <v>0</v>
      </c>
      <c r="J172" s="8">
        <f t="shared" si="23"/>
        <v>0</v>
      </c>
      <c r="K172" s="8">
        <f>VALUE(CONCATENATE("0",0))</f>
        <v>0</v>
      </c>
      <c r="L172" s="8">
        <f t="shared" si="27"/>
        <v>0</v>
      </c>
      <c r="M172" s="8">
        <f>VALUE(CONCATENATE("0","2.220000"))</f>
        <v>2.2200000000000002</v>
      </c>
      <c r="N172" s="8">
        <f t="shared" si="28"/>
        <v>0</v>
      </c>
      <c r="O172" s="7">
        <f>VALUE(CONCATENATE("0",2.22))+VALUE(CONCATENATE("0","0.000000"))-VALUE(CONCATENATE("0",0))-VALUE(CONCATENATE("0",0))-VALUE(CONCATENATE("0",0))-VALUE(CONCATENATE("0",0))-VALUE(CONCATENATE("0",0))-VALUE(CONCATENATE("0","2.220000"))</f>
        <v>0</v>
      </c>
      <c r="P172" s="6">
        <v>0</v>
      </c>
    </row>
    <row r="173" spans="1:16" ht="24.95" customHeight="1">
      <c r="A173" s="5" t="s">
        <v>455</v>
      </c>
      <c r="B173" s="10">
        <v>171</v>
      </c>
      <c r="C173" s="13" t="s">
        <v>454</v>
      </c>
      <c r="D173" s="9" t="s">
        <v>453</v>
      </c>
      <c r="E173" s="9" t="s">
        <v>67</v>
      </c>
      <c r="F173" s="9" t="s">
        <v>83</v>
      </c>
      <c r="G173" s="8">
        <f>VALUE(CONCATENATE("0",2.215))</f>
        <v>2.2149999999999999</v>
      </c>
      <c r="H173" s="8">
        <f t="shared" si="29"/>
        <v>0</v>
      </c>
      <c r="I173" s="8">
        <f>VALUE(CONCATENATE("0",0))</f>
        <v>0</v>
      </c>
      <c r="J173" s="8">
        <f t="shared" si="23"/>
        <v>0</v>
      </c>
      <c r="K173" s="8">
        <f>VALUE(CONCATENATE("0",2.042))</f>
        <v>2.0419999999999998</v>
      </c>
      <c r="L173" s="8">
        <f t="shared" si="27"/>
        <v>0</v>
      </c>
      <c r="M173" s="8">
        <f>VALUE(CONCATENATE("0","0.173000"))</f>
        <v>0.17299999999999999</v>
      </c>
      <c r="N173" s="8">
        <f t="shared" si="28"/>
        <v>0</v>
      </c>
      <c r="O173" s="7">
        <f>VALUE(CONCATENATE("0",2.215))+VALUE(CONCATENATE("0","0.000000"))-VALUE(CONCATENATE("0",0))-VALUE(CONCATENATE("0",0))-VALUE(CONCATENATE("0",0))-VALUE(CONCATENATE("0",2.042))-VALUE(CONCATENATE("0",0))-VALUE(CONCATENATE("0","0.173000"))</f>
        <v>0</v>
      </c>
      <c r="P173" s="6">
        <v>0.92189616252821671</v>
      </c>
    </row>
    <row r="174" spans="1:16" ht="29.1" customHeight="1">
      <c r="A174" s="5" t="s">
        <v>452</v>
      </c>
      <c r="B174" s="10">
        <v>172</v>
      </c>
      <c r="C174" s="13" t="s">
        <v>451</v>
      </c>
      <c r="D174" s="9" t="s">
        <v>450</v>
      </c>
      <c r="E174" s="9" t="s">
        <v>66</v>
      </c>
      <c r="F174" s="9" t="s">
        <v>80</v>
      </c>
      <c r="G174" s="8">
        <f>VALUE(CONCATENATE("0",2.21))</f>
        <v>2.21</v>
      </c>
      <c r="H174" s="8">
        <f t="shared" si="29"/>
        <v>0</v>
      </c>
      <c r="I174" s="8">
        <f>VALUE(CONCATENATE("0",0))</f>
        <v>0</v>
      </c>
      <c r="J174" s="8">
        <f t="shared" si="23"/>
        <v>0</v>
      </c>
      <c r="K174" s="8">
        <f>VALUE(CONCATENATE("0",2.21))</f>
        <v>2.21</v>
      </c>
      <c r="L174" s="8">
        <f t="shared" si="27"/>
        <v>0</v>
      </c>
      <c r="M174" s="8">
        <f>VALUE(CONCATENATE("0","0.000000"))</f>
        <v>0</v>
      </c>
      <c r="N174" s="8">
        <f t="shared" si="28"/>
        <v>0</v>
      </c>
      <c r="O174" s="7">
        <f>VALUE(CONCATENATE("0",2.21))+VALUE(CONCATENATE("0","0.000000"))-VALUE(CONCATENATE("0",0))-VALUE(CONCATENATE("0",0))-VALUE(CONCATENATE("0",0))-VALUE(CONCATENATE("0",2.21))-VALUE(CONCATENATE("0",0))-VALUE(CONCATENATE("0","0.000000"))</f>
        <v>0</v>
      </c>
      <c r="P174" s="6">
        <v>1</v>
      </c>
    </row>
    <row r="175" spans="1:16" ht="29.1" customHeight="1">
      <c r="A175" s="5" t="s">
        <v>449</v>
      </c>
      <c r="B175" s="10">
        <v>173</v>
      </c>
      <c r="C175" s="13" t="s">
        <v>448</v>
      </c>
      <c r="D175" s="9" t="s">
        <v>447</v>
      </c>
      <c r="E175" s="9" t="s">
        <v>65</v>
      </c>
      <c r="F175" s="9" t="s">
        <v>83</v>
      </c>
      <c r="G175" s="8">
        <f>VALUE(CONCATENATE("0",2.2))</f>
        <v>2.2000000000000002</v>
      </c>
      <c r="H175" s="8">
        <f t="shared" si="29"/>
        <v>0</v>
      </c>
      <c r="I175" s="8">
        <f>VALUE(CONCATENATE("0",15.2))</f>
        <v>15.2</v>
      </c>
      <c r="J175" s="8">
        <f t="shared" si="23"/>
        <v>0</v>
      </c>
      <c r="K175" s="8">
        <f>VALUE(CONCATENATE("0",0))</f>
        <v>0</v>
      </c>
      <c r="L175" s="8">
        <f t="shared" si="27"/>
        <v>0</v>
      </c>
      <c r="M175" s="8">
        <f>VALUE(CONCATENATE("0","0.000000"))</f>
        <v>0</v>
      </c>
      <c r="N175" s="8">
        <f>VALUE(CONCATENATE("0","13.000000"))</f>
        <v>13</v>
      </c>
      <c r="O175" s="7">
        <f>VALUE(CONCATENATE("0",2.2))+VALUE(CONCATENATE("0","13.000000"))-VALUE(CONCATENATE("0",0))-VALUE(CONCATENATE("0",0))-VALUE(CONCATENATE("0",15.2))-VALUE(CONCATENATE("0",0))-VALUE(CONCATENATE("0",0))-VALUE(CONCATENATE("0","0.000000"))</f>
        <v>0</v>
      </c>
      <c r="P175" s="6">
        <v>1</v>
      </c>
    </row>
    <row r="176" spans="1:16" ht="24.95" customHeight="1">
      <c r="A176" s="5" t="s">
        <v>446</v>
      </c>
      <c r="B176" s="10">
        <v>174</v>
      </c>
      <c r="C176" s="13" t="s">
        <v>445</v>
      </c>
      <c r="D176" s="9" t="s">
        <v>444</v>
      </c>
      <c r="E176" s="9" t="s">
        <v>96</v>
      </c>
      <c r="F176" s="9" t="s">
        <v>83</v>
      </c>
      <c r="G176" s="8">
        <f>VALUE(CONCATENATE("0",2.16))</f>
        <v>2.16</v>
      </c>
      <c r="H176" s="8">
        <f t="shared" si="29"/>
        <v>0</v>
      </c>
      <c r="I176" s="8">
        <f>VALUE(CONCATENATE("0",0))</f>
        <v>0</v>
      </c>
      <c r="J176" s="8">
        <f t="shared" si="23"/>
        <v>0</v>
      </c>
      <c r="K176" s="8">
        <f>VALUE(CONCATENATE("0",2.16))</f>
        <v>2.16</v>
      </c>
      <c r="L176" s="8">
        <f t="shared" si="27"/>
        <v>0</v>
      </c>
      <c r="M176" s="8">
        <f>VALUE(CONCATENATE("0","0.000000"))</f>
        <v>0</v>
      </c>
      <c r="N176" s="8">
        <f>VALUE(CONCATENATE("0","0.000000"))</f>
        <v>0</v>
      </c>
      <c r="O176" s="7">
        <f>VALUE(CONCATENATE("0",2.16))+VALUE(CONCATENATE("0","0.000000"))-VALUE(CONCATENATE("0",0))-VALUE(CONCATENATE("0",0))-VALUE(CONCATENATE("0",0))-VALUE(CONCATENATE("0",2.16))-VALUE(CONCATENATE("0",0))-VALUE(CONCATENATE("0","0.000000"))</f>
        <v>0</v>
      </c>
      <c r="P176" s="6">
        <v>1</v>
      </c>
    </row>
    <row r="177" spans="1:16" ht="29.1" customHeight="1">
      <c r="A177" s="5" t="s">
        <v>443</v>
      </c>
      <c r="B177" s="10">
        <v>175</v>
      </c>
      <c r="C177" s="13" t="s">
        <v>442</v>
      </c>
      <c r="D177" s="9" t="s">
        <v>441</v>
      </c>
      <c r="E177" s="9" t="s">
        <v>73</v>
      </c>
      <c r="F177" s="9" t="s">
        <v>89</v>
      </c>
      <c r="G177" s="8">
        <f>VALUE(CONCATENATE("0",2.16))</f>
        <v>2.16</v>
      </c>
      <c r="H177" s="8">
        <f t="shared" si="29"/>
        <v>0</v>
      </c>
      <c r="I177" s="8">
        <f>VALUE(CONCATENATE("0",2.16))</f>
        <v>2.16</v>
      </c>
      <c r="J177" s="8">
        <f t="shared" si="23"/>
        <v>0</v>
      </c>
      <c r="K177" s="8">
        <f>VALUE(CONCATENATE("0",0))</f>
        <v>0</v>
      </c>
      <c r="L177" s="8">
        <f t="shared" si="27"/>
        <v>0</v>
      </c>
      <c r="M177" s="8">
        <f>VALUE(CONCATENATE("0","0.000000"))</f>
        <v>0</v>
      </c>
      <c r="N177" s="8">
        <f>VALUE(CONCATENATE("0","0.000000"))</f>
        <v>0</v>
      </c>
      <c r="O177" s="7">
        <f>VALUE(CONCATENATE("0",2.16))+VALUE(CONCATENATE("0","0.000000"))-VALUE(CONCATENATE("0",0))-VALUE(CONCATENATE("0",0))-VALUE(CONCATENATE("0",2.16))-VALUE(CONCATENATE("0",0))-VALUE(CONCATENATE("0",0))-VALUE(CONCATENATE("0","0.000000"))</f>
        <v>0</v>
      </c>
      <c r="P177" s="6">
        <v>1</v>
      </c>
    </row>
    <row r="178" spans="1:16" ht="29.1" customHeight="1">
      <c r="A178" s="5" t="s">
        <v>440</v>
      </c>
      <c r="B178" s="10">
        <v>176</v>
      </c>
      <c r="C178" s="13" t="s">
        <v>439</v>
      </c>
      <c r="D178" s="9" t="s">
        <v>438</v>
      </c>
      <c r="E178" s="9" t="s">
        <v>69</v>
      </c>
      <c r="F178" s="9" t="s">
        <v>83</v>
      </c>
      <c r="G178" s="8">
        <f>VALUE(CONCATENATE("0",2.13))</f>
        <v>2.13</v>
      </c>
      <c r="H178" s="8">
        <f t="shared" si="29"/>
        <v>0</v>
      </c>
      <c r="I178" s="8">
        <f>VALUE(CONCATENATE("0",0))</f>
        <v>0</v>
      </c>
      <c r="J178" s="8">
        <f t="shared" si="23"/>
        <v>0</v>
      </c>
      <c r="K178" s="8">
        <f>VALUE(CONCATENATE("0",2.13))</f>
        <v>2.13</v>
      </c>
      <c r="L178" s="8">
        <f t="shared" si="27"/>
        <v>0</v>
      </c>
      <c r="M178" s="8">
        <f>VALUE(CONCATENATE("0","0.000000"))</f>
        <v>0</v>
      </c>
      <c r="N178" s="8">
        <f>VALUE(CONCATENATE("0","0.000000"))</f>
        <v>0</v>
      </c>
      <c r="O178" s="7">
        <f>VALUE(CONCATENATE("0",2.13))+VALUE(CONCATENATE("0","0.000000"))-VALUE(CONCATENATE("0",0))-VALUE(CONCATENATE("0",0))-VALUE(CONCATENATE("0",0))-VALUE(CONCATENATE("0",2.13))-VALUE(CONCATENATE("0",0))-VALUE(CONCATENATE("0","0.000000"))</f>
        <v>0</v>
      </c>
      <c r="P178" s="6">
        <v>1</v>
      </c>
    </row>
    <row r="179" spans="1:16" ht="29.1" customHeight="1">
      <c r="A179" s="5" t="s">
        <v>437</v>
      </c>
      <c r="B179" s="10">
        <v>177</v>
      </c>
      <c r="C179" s="13" t="s">
        <v>436</v>
      </c>
      <c r="D179" s="9" t="s">
        <v>435</v>
      </c>
      <c r="E179" s="9" t="s">
        <v>65</v>
      </c>
      <c r="F179" s="9" t="s">
        <v>80</v>
      </c>
      <c r="G179" s="8">
        <f>VALUE(CONCATENATE("0",2.12))</f>
        <v>2.12</v>
      </c>
      <c r="H179" s="8">
        <f t="shared" si="29"/>
        <v>0</v>
      </c>
      <c r="I179" s="8">
        <f>VALUE(CONCATENATE("0",0))</f>
        <v>0</v>
      </c>
      <c r="J179" s="8">
        <f t="shared" si="23"/>
        <v>0</v>
      </c>
      <c r="K179" s="8">
        <f>VALUE(CONCATENATE("0",1.01))</f>
        <v>1.01</v>
      </c>
      <c r="L179" s="8">
        <f t="shared" si="27"/>
        <v>0</v>
      </c>
      <c r="M179" s="8">
        <f>VALUE(CONCATENATE("0","2.110000"))</f>
        <v>2.11</v>
      </c>
      <c r="N179" s="8">
        <f>VALUE(CONCATENATE("0","1.000000"))</f>
        <v>1</v>
      </c>
      <c r="O179" s="7">
        <f>VALUE(CONCATENATE("0",2.12))+VALUE(CONCATENATE("0","1.000000"))-VALUE(CONCATENATE("0",0))-VALUE(CONCATENATE("0",0))-VALUE(CONCATENATE("0",0))-VALUE(CONCATENATE("0",1.01))-VALUE(CONCATENATE("0",0))-VALUE(CONCATENATE("0","2.110000"))</f>
        <v>0</v>
      </c>
      <c r="P179" s="6">
        <v>0.32371794871794873</v>
      </c>
    </row>
    <row r="180" spans="1:16" ht="29.1" customHeight="1">
      <c r="A180" s="5" t="s">
        <v>434</v>
      </c>
      <c r="B180" s="10">
        <v>178</v>
      </c>
      <c r="C180" s="13" t="s">
        <v>433</v>
      </c>
      <c r="D180" s="9" t="s">
        <v>432</v>
      </c>
      <c r="E180" s="9" t="s">
        <v>65</v>
      </c>
      <c r="F180" s="9" t="s">
        <v>83</v>
      </c>
      <c r="G180" s="8">
        <f>VALUE(CONCATENATE("0",2.1))</f>
        <v>2.1</v>
      </c>
      <c r="H180" s="8">
        <f t="shared" si="29"/>
        <v>0</v>
      </c>
      <c r="I180" s="8">
        <f>VALUE(CONCATENATE("0",0))</f>
        <v>0</v>
      </c>
      <c r="J180" s="8">
        <f t="shared" si="23"/>
        <v>0</v>
      </c>
      <c r="K180" s="8">
        <f t="shared" ref="K180:K186" si="30">VALUE(CONCATENATE("0",0))</f>
        <v>0</v>
      </c>
      <c r="L180" s="8">
        <f t="shared" si="27"/>
        <v>0</v>
      </c>
      <c r="M180" s="8">
        <f>VALUE(CONCATENATE("0","2.100000"))</f>
        <v>2.1</v>
      </c>
      <c r="N180" s="8">
        <f t="shared" ref="N180:N201" si="31">VALUE(CONCATENATE("0","0.000000"))</f>
        <v>0</v>
      </c>
      <c r="O180" s="7">
        <f>VALUE(CONCATENATE("0",2.1))+VALUE(CONCATENATE("0","0.000000"))-VALUE(CONCATENATE("0",0))-VALUE(CONCATENATE("0",0))-VALUE(CONCATENATE("0",0))-VALUE(CONCATENATE("0",0))-VALUE(CONCATENATE("0",0))-VALUE(CONCATENATE("0","2.100000"))</f>
        <v>0</v>
      </c>
      <c r="P180" s="6">
        <v>0</v>
      </c>
    </row>
    <row r="181" spans="1:16" ht="24.95" customHeight="1">
      <c r="A181" s="5" t="s">
        <v>431</v>
      </c>
      <c r="B181" s="10">
        <v>179</v>
      </c>
      <c r="C181" s="13" t="s">
        <v>430</v>
      </c>
      <c r="D181" s="9" t="s">
        <v>429</v>
      </c>
      <c r="E181" s="9" t="s">
        <v>73</v>
      </c>
      <c r="F181" s="9" t="s">
        <v>89</v>
      </c>
      <c r="G181" s="8">
        <f>VALUE(CONCATENATE("0",2.04))</f>
        <v>2.04</v>
      </c>
      <c r="H181" s="8">
        <f t="shared" si="29"/>
        <v>0</v>
      </c>
      <c r="I181" s="8">
        <f>VALUE(CONCATENATE("0",2.04))</f>
        <v>2.04</v>
      </c>
      <c r="J181" s="8">
        <f t="shared" si="23"/>
        <v>0</v>
      </c>
      <c r="K181" s="8">
        <f t="shared" si="30"/>
        <v>0</v>
      </c>
      <c r="L181" s="8">
        <f t="shared" si="27"/>
        <v>0</v>
      </c>
      <c r="M181" s="8">
        <f>VALUE(CONCATENATE("0","0.000000"))</f>
        <v>0</v>
      </c>
      <c r="N181" s="8">
        <f t="shared" si="31"/>
        <v>0</v>
      </c>
      <c r="O181" s="7">
        <f>VALUE(CONCATENATE("0",2.04))+VALUE(CONCATENATE("0","0.000000"))-VALUE(CONCATENATE("0",0))-VALUE(CONCATENATE("0",0))-VALUE(CONCATENATE("0",2.04))-VALUE(CONCATENATE("0",0))-VALUE(CONCATENATE("0",0))-VALUE(CONCATENATE("0","0.000000"))</f>
        <v>0</v>
      </c>
      <c r="P181" s="6">
        <v>1</v>
      </c>
    </row>
    <row r="182" spans="1:16" ht="24.95" customHeight="1">
      <c r="A182" s="5" t="s">
        <v>428</v>
      </c>
      <c r="B182" s="10">
        <v>180</v>
      </c>
      <c r="C182" s="13" t="s">
        <v>427</v>
      </c>
      <c r="D182" s="9" t="s">
        <v>426</v>
      </c>
      <c r="E182" s="9" t="s">
        <v>96</v>
      </c>
      <c r="F182" s="9" t="s">
        <v>89</v>
      </c>
      <c r="G182" s="8">
        <f>VALUE(CONCATENATE("0",2.04))</f>
        <v>2.04</v>
      </c>
      <c r="H182" s="8">
        <f t="shared" si="29"/>
        <v>0</v>
      </c>
      <c r="I182" s="8">
        <f>VALUE(CONCATENATE("0",2.04))</f>
        <v>2.04</v>
      </c>
      <c r="J182" s="8">
        <f t="shared" si="23"/>
        <v>0</v>
      </c>
      <c r="K182" s="8">
        <f t="shared" si="30"/>
        <v>0</v>
      </c>
      <c r="L182" s="8">
        <f t="shared" si="27"/>
        <v>0</v>
      </c>
      <c r="M182" s="8">
        <f>VALUE(CONCATENATE("0","0.000000"))</f>
        <v>0</v>
      </c>
      <c r="N182" s="8">
        <f t="shared" si="31"/>
        <v>0</v>
      </c>
      <c r="O182" s="7">
        <f>VALUE(CONCATENATE("0",2.04))+VALUE(CONCATENATE("0","0.000000"))-VALUE(CONCATENATE("0",0))-VALUE(CONCATENATE("0",0))-VALUE(CONCATENATE("0",2.04))-VALUE(CONCATENATE("0",0))-VALUE(CONCATENATE("0",0))-VALUE(CONCATENATE("0","0.000000"))</f>
        <v>0</v>
      </c>
      <c r="P182" s="6">
        <v>1</v>
      </c>
    </row>
    <row r="183" spans="1:16" ht="29.1" customHeight="1">
      <c r="A183" s="5" t="s">
        <v>425</v>
      </c>
      <c r="B183" s="10">
        <v>181</v>
      </c>
      <c r="C183" s="13" t="s">
        <v>424</v>
      </c>
      <c r="D183" s="9" t="s">
        <v>423</v>
      </c>
      <c r="E183" s="9" t="s">
        <v>112</v>
      </c>
      <c r="F183" s="9" t="s">
        <v>83</v>
      </c>
      <c r="G183" s="8">
        <f>VALUE(CONCATENATE("0",2))</f>
        <v>2</v>
      </c>
      <c r="H183" s="8">
        <f t="shared" si="29"/>
        <v>0</v>
      </c>
      <c r="I183" s="8">
        <f>VALUE(CONCATENATE("0",2))</f>
        <v>2</v>
      </c>
      <c r="J183" s="8">
        <f t="shared" si="23"/>
        <v>0</v>
      </c>
      <c r="K183" s="8">
        <f t="shared" si="30"/>
        <v>0</v>
      </c>
      <c r="L183" s="8">
        <f t="shared" si="27"/>
        <v>0</v>
      </c>
      <c r="M183" s="8">
        <f>VALUE(CONCATENATE("0","0.000000"))</f>
        <v>0</v>
      </c>
      <c r="N183" s="8">
        <f t="shared" si="31"/>
        <v>0</v>
      </c>
      <c r="O183" s="7">
        <f>VALUE(CONCATENATE("0",2))+VALUE(CONCATENATE("0","0.000000"))-VALUE(CONCATENATE("0",0))-VALUE(CONCATENATE("0",0))-VALUE(CONCATENATE("0",2))-VALUE(CONCATENATE("0",0))-VALUE(CONCATENATE("0",0))-VALUE(CONCATENATE("0","0.000000"))</f>
        <v>0</v>
      </c>
      <c r="P183" s="6">
        <v>1</v>
      </c>
    </row>
    <row r="184" spans="1:16" ht="29.1" customHeight="1">
      <c r="A184" s="5" t="s">
        <v>422</v>
      </c>
      <c r="B184" s="10">
        <v>182</v>
      </c>
      <c r="C184" s="13" t="s">
        <v>421</v>
      </c>
      <c r="D184" s="9" t="s">
        <v>203</v>
      </c>
      <c r="E184" s="9" t="s">
        <v>68</v>
      </c>
      <c r="F184" s="9" t="s">
        <v>83</v>
      </c>
      <c r="G184" s="8">
        <f>VALUE(CONCATENATE("0",2))</f>
        <v>2</v>
      </c>
      <c r="H184" s="8">
        <f t="shared" si="29"/>
        <v>0</v>
      </c>
      <c r="I184" s="8">
        <f>VALUE(CONCATENATE("0",2))</f>
        <v>2</v>
      </c>
      <c r="J184" s="8">
        <f t="shared" si="23"/>
        <v>0</v>
      </c>
      <c r="K184" s="8">
        <f t="shared" si="30"/>
        <v>0</v>
      </c>
      <c r="L184" s="8">
        <f t="shared" si="27"/>
        <v>0</v>
      </c>
      <c r="M184" s="8">
        <f>VALUE(CONCATENATE("0","0.000000"))</f>
        <v>0</v>
      </c>
      <c r="N184" s="8">
        <f t="shared" si="31"/>
        <v>0</v>
      </c>
      <c r="O184" s="7">
        <f>VALUE(CONCATENATE("0",2))+VALUE(CONCATENATE("0","0.000000"))-VALUE(CONCATENATE("0",0))-VALUE(CONCATENATE("0",0))-VALUE(CONCATENATE("0",2))-VALUE(CONCATENATE("0",0))-VALUE(CONCATENATE("0",0))-VALUE(CONCATENATE("0","0.000000"))</f>
        <v>0</v>
      </c>
      <c r="P184" s="6">
        <v>1</v>
      </c>
    </row>
    <row r="185" spans="1:16" ht="29.1" customHeight="1">
      <c r="A185" s="5" t="s">
        <v>420</v>
      </c>
      <c r="B185" s="10">
        <v>183</v>
      </c>
      <c r="C185" s="13" t="s">
        <v>419</v>
      </c>
      <c r="D185" s="9" t="s">
        <v>418</v>
      </c>
      <c r="E185" s="9" t="s">
        <v>69</v>
      </c>
      <c r="F185" s="9" t="s">
        <v>307</v>
      </c>
      <c r="G185" s="8">
        <f>VALUE(CONCATENATE("0",2))</f>
        <v>2</v>
      </c>
      <c r="H185" s="8">
        <f t="shared" si="29"/>
        <v>0</v>
      </c>
      <c r="I185" s="8">
        <f>VALUE(CONCATENATE("0",0))</f>
        <v>0</v>
      </c>
      <c r="J185" s="8">
        <f t="shared" si="23"/>
        <v>0</v>
      </c>
      <c r="K185" s="8">
        <f t="shared" si="30"/>
        <v>0</v>
      </c>
      <c r="L185" s="8">
        <f>VALUE(CONCATENATE("0",2))</f>
        <v>2</v>
      </c>
      <c r="M185" s="8">
        <f>VALUE(CONCATENATE("0","0.000000"))</f>
        <v>0</v>
      </c>
      <c r="N185" s="8">
        <f t="shared" si="31"/>
        <v>0</v>
      </c>
      <c r="O185" s="7">
        <f>VALUE(CONCATENATE("0",2))+VALUE(CONCATENATE("0","0.000000"))-VALUE(CONCATENATE("0",0))-VALUE(CONCATENATE("0",0))-VALUE(CONCATENATE("0",0))-VALUE(CONCATENATE("0",0))-VALUE(CONCATENATE("0",2))-VALUE(CONCATENATE("0","0.000000"))</f>
        <v>0</v>
      </c>
      <c r="P185" s="6">
        <v>0</v>
      </c>
    </row>
    <row r="186" spans="1:16" ht="29.1" customHeight="1">
      <c r="A186" s="5" t="s">
        <v>417</v>
      </c>
      <c r="B186" s="10">
        <v>184</v>
      </c>
      <c r="C186" s="13" t="s">
        <v>416</v>
      </c>
      <c r="D186" s="9" t="s">
        <v>362</v>
      </c>
      <c r="E186" s="9" t="s">
        <v>65</v>
      </c>
      <c r="F186" s="9" t="s">
        <v>83</v>
      </c>
      <c r="G186" s="8">
        <f>VALUE(CONCATENATE("0",2))</f>
        <v>2</v>
      </c>
      <c r="H186" s="8">
        <f t="shared" si="29"/>
        <v>0</v>
      </c>
      <c r="I186" s="8">
        <f>VALUE(CONCATENATE("0",0))</f>
        <v>0</v>
      </c>
      <c r="J186" s="8">
        <f t="shared" si="23"/>
        <v>0</v>
      </c>
      <c r="K186" s="8">
        <f t="shared" si="30"/>
        <v>0</v>
      </c>
      <c r="L186" s="8">
        <f t="shared" ref="L186:L195" si="32">VALUE(CONCATENATE("0",0))</f>
        <v>0</v>
      </c>
      <c r="M186" s="8">
        <f>VALUE(CONCATENATE("0","2.000000"))</f>
        <v>2</v>
      </c>
      <c r="N186" s="8">
        <f t="shared" si="31"/>
        <v>0</v>
      </c>
      <c r="O186" s="7">
        <f>VALUE(CONCATENATE("0",2))+VALUE(CONCATENATE("0","0.000000"))-VALUE(CONCATENATE("0",0))-VALUE(CONCATENATE("0",0))-VALUE(CONCATENATE("0",0))-VALUE(CONCATENATE("0",0))-VALUE(CONCATENATE("0",0))-VALUE(CONCATENATE("0","2.000000"))</f>
        <v>0</v>
      </c>
      <c r="P186" s="6">
        <v>0</v>
      </c>
    </row>
    <row r="187" spans="1:16" ht="29.1" customHeight="1">
      <c r="A187" s="5" t="s">
        <v>415</v>
      </c>
      <c r="B187" s="10">
        <v>185</v>
      </c>
      <c r="C187" s="13" t="s">
        <v>414</v>
      </c>
      <c r="D187" s="9" t="s">
        <v>413</v>
      </c>
      <c r="E187" s="9" t="s">
        <v>65</v>
      </c>
      <c r="F187" s="9" t="s">
        <v>282</v>
      </c>
      <c r="G187" s="8">
        <f>VALUE(CONCATENATE("0",1.86))</f>
        <v>1.86</v>
      </c>
      <c r="H187" s="8">
        <f t="shared" si="29"/>
        <v>0</v>
      </c>
      <c r="I187" s="8">
        <f>VALUE(CONCATENATE("0",0))</f>
        <v>0</v>
      </c>
      <c r="J187" s="8">
        <f t="shared" si="23"/>
        <v>0</v>
      </c>
      <c r="K187" s="8">
        <f>VALUE(CONCATENATE("0",1.86))</f>
        <v>1.86</v>
      </c>
      <c r="L187" s="8">
        <f t="shared" si="32"/>
        <v>0</v>
      </c>
      <c r="M187" s="8">
        <f>VALUE(CONCATENATE("0","0.000000"))</f>
        <v>0</v>
      </c>
      <c r="N187" s="8">
        <f t="shared" si="31"/>
        <v>0</v>
      </c>
      <c r="O187" s="7">
        <f>VALUE(CONCATENATE("0",1.86))+VALUE(CONCATENATE("0","0.000000"))-VALUE(CONCATENATE("0",0))-VALUE(CONCATENATE("0",0))-VALUE(CONCATENATE("0",0))-VALUE(CONCATENATE("0",1.86))-VALUE(CONCATENATE("0",0))-VALUE(CONCATENATE("0","0.000000"))</f>
        <v>0</v>
      </c>
      <c r="P187" s="6">
        <v>1</v>
      </c>
    </row>
    <row r="188" spans="1:16" ht="24.95" customHeight="1">
      <c r="A188" s="5" t="s">
        <v>412</v>
      </c>
      <c r="B188" s="10">
        <v>186</v>
      </c>
      <c r="C188" s="13" t="s">
        <v>411</v>
      </c>
      <c r="D188" s="9" t="s">
        <v>410</v>
      </c>
      <c r="E188" s="9" t="s">
        <v>65</v>
      </c>
      <c r="F188" s="9" t="s">
        <v>220</v>
      </c>
      <c r="G188" s="8">
        <f>VALUE(CONCATENATE("0",1.85))</f>
        <v>1.85</v>
      </c>
      <c r="H188" s="8">
        <f t="shared" si="29"/>
        <v>0</v>
      </c>
      <c r="I188" s="8">
        <f>VALUE(CONCATENATE("0",1.85))</f>
        <v>1.85</v>
      </c>
      <c r="J188" s="8">
        <f t="shared" si="23"/>
        <v>0</v>
      </c>
      <c r="K188" s="8">
        <f>VALUE(CONCATENATE("0",0))</f>
        <v>0</v>
      </c>
      <c r="L188" s="8">
        <f t="shared" si="32"/>
        <v>0</v>
      </c>
      <c r="M188" s="8">
        <f>VALUE(CONCATENATE("0","0.000000"))</f>
        <v>0</v>
      </c>
      <c r="N188" s="8">
        <f t="shared" si="31"/>
        <v>0</v>
      </c>
      <c r="O188" s="7">
        <f>VALUE(CONCATENATE("0",1.85))+VALUE(CONCATENATE("0","0.000000"))-VALUE(CONCATENATE("0",0))-VALUE(CONCATENATE("0",0))-VALUE(CONCATENATE("0",1.85))-VALUE(CONCATENATE("0",0))-VALUE(CONCATENATE("0",0))-VALUE(CONCATENATE("0","0.000000"))</f>
        <v>0</v>
      </c>
      <c r="P188" s="6">
        <v>1</v>
      </c>
    </row>
    <row r="189" spans="1:16" ht="24.95" customHeight="1">
      <c r="A189" s="5" t="s">
        <v>409</v>
      </c>
      <c r="B189" s="10">
        <v>187</v>
      </c>
      <c r="C189" s="13" t="s">
        <v>14</v>
      </c>
      <c r="D189" s="9" t="s">
        <v>408</v>
      </c>
      <c r="E189" s="9" t="s">
        <v>96</v>
      </c>
      <c r="F189" s="9" t="s">
        <v>83</v>
      </c>
      <c r="G189" s="8">
        <f>VALUE(CONCATENATE("0",1.8))</f>
        <v>1.8</v>
      </c>
      <c r="H189" s="8">
        <f t="shared" si="29"/>
        <v>0</v>
      </c>
      <c r="I189" s="8">
        <f>VALUE(CONCATENATE("0",0))</f>
        <v>0</v>
      </c>
      <c r="J189" s="8">
        <f t="shared" si="23"/>
        <v>0</v>
      </c>
      <c r="K189" s="8">
        <f>VALUE(CONCATENATE("0",1.8))</f>
        <v>1.8</v>
      </c>
      <c r="L189" s="8">
        <f t="shared" si="32"/>
        <v>0</v>
      </c>
      <c r="M189" s="8">
        <f>VALUE(CONCATENATE("0","0.000000"))</f>
        <v>0</v>
      </c>
      <c r="N189" s="8">
        <f t="shared" si="31"/>
        <v>0</v>
      </c>
      <c r="O189" s="7">
        <f>VALUE(CONCATENATE("0",1.8))+VALUE(CONCATENATE("0","0.000000"))-VALUE(CONCATENATE("0",0))-VALUE(CONCATENATE("0",0))-VALUE(CONCATENATE("0",0))-VALUE(CONCATENATE("0",1.8))-VALUE(CONCATENATE("0",0))-VALUE(CONCATENATE("0","0.000000"))</f>
        <v>0</v>
      </c>
      <c r="P189" s="6">
        <v>1</v>
      </c>
    </row>
    <row r="190" spans="1:16" ht="24.95" customHeight="1">
      <c r="A190" s="5" t="s">
        <v>407</v>
      </c>
      <c r="B190" s="10">
        <v>188</v>
      </c>
      <c r="C190" s="13" t="s">
        <v>406</v>
      </c>
      <c r="D190" s="9" t="s">
        <v>405</v>
      </c>
      <c r="E190" s="9" t="s">
        <v>96</v>
      </c>
      <c r="F190" s="9" t="s">
        <v>83</v>
      </c>
      <c r="G190" s="8">
        <f>VALUE(CONCATENATE("0",1.8))</f>
        <v>1.8</v>
      </c>
      <c r="H190" s="8">
        <f t="shared" si="29"/>
        <v>0</v>
      </c>
      <c r="I190" s="8">
        <f>VALUE(CONCATENATE("0",0))</f>
        <v>0</v>
      </c>
      <c r="J190" s="8">
        <f t="shared" si="23"/>
        <v>0</v>
      </c>
      <c r="K190" s="8">
        <f>VALUE(CONCATENATE("0",1.8))</f>
        <v>1.8</v>
      </c>
      <c r="L190" s="8">
        <f t="shared" si="32"/>
        <v>0</v>
      </c>
      <c r="M190" s="8">
        <f>VALUE(CONCATENATE("0","0.000000"))</f>
        <v>0</v>
      </c>
      <c r="N190" s="8">
        <f t="shared" si="31"/>
        <v>0</v>
      </c>
      <c r="O190" s="7">
        <f>VALUE(CONCATENATE("0",1.8))+VALUE(CONCATENATE("0","0.000000"))-VALUE(CONCATENATE("0",0))-VALUE(CONCATENATE("0",0))-VALUE(CONCATENATE("0",0))-VALUE(CONCATENATE("0",1.8))-VALUE(CONCATENATE("0",0))-VALUE(CONCATENATE("0","0.000000"))</f>
        <v>0</v>
      </c>
      <c r="P190" s="6">
        <v>1</v>
      </c>
    </row>
    <row r="191" spans="1:16" ht="24.95" customHeight="1">
      <c r="A191" s="5" t="s">
        <v>404</v>
      </c>
      <c r="B191" s="10">
        <v>189</v>
      </c>
      <c r="C191" s="13" t="s">
        <v>403</v>
      </c>
      <c r="D191" s="9" t="s">
        <v>402</v>
      </c>
      <c r="E191" s="9" t="s">
        <v>73</v>
      </c>
      <c r="F191" s="9" t="s">
        <v>83</v>
      </c>
      <c r="G191" s="8">
        <f>VALUE(CONCATENATE("0",1.73))</f>
        <v>1.73</v>
      </c>
      <c r="H191" s="8">
        <f t="shared" si="29"/>
        <v>0</v>
      </c>
      <c r="I191" s="8">
        <f>VALUE(CONCATENATE("0",0))</f>
        <v>0</v>
      </c>
      <c r="J191" s="8">
        <f t="shared" si="23"/>
        <v>0</v>
      </c>
      <c r="K191" s="8">
        <f>VALUE(CONCATENATE("0",1))</f>
        <v>1</v>
      </c>
      <c r="L191" s="8">
        <f t="shared" si="32"/>
        <v>0</v>
      </c>
      <c r="M191" s="8">
        <f>VALUE(CONCATENATE("0","0.730000"))</f>
        <v>0.73</v>
      </c>
      <c r="N191" s="8">
        <f t="shared" si="31"/>
        <v>0</v>
      </c>
      <c r="O191" s="7">
        <f>VALUE(CONCATENATE("0",1.73))+VALUE(CONCATENATE("0","0.000000"))-VALUE(CONCATENATE("0",0))-VALUE(CONCATENATE("0",0))-VALUE(CONCATENATE("0",0))-VALUE(CONCATENATE("0",1))-VALUE(CONCATENATE("0",0))-VALUE(CONCATENATE("0","0.730000"))</f>
        <v>0</v>
      </c>
      <c r="P191" s="6">
        <v>0.5780346820809249</v>
      </c>
    </row>
    <row r="192" spans="1:16" ht="29.1" customHeight="1">
      <c r="A192" s="5" t="s">
        <v>401</v>
      </c>
      <c r="B192" s="10">
        <v>190</v>
      </c>
      <c r="C192" s="13" t="s">
        <v>400</v>
      </c>
      <c r="D192" s="9" t="s">
        <v>399</v>
      </c>
      <c r="E192" s="9" t="s">
        <v>96</v>
      </c>
      <c r="F192" s="9" t="s">
        <v>89</v>
      </c>
      <c r="G192" s="8">
        <f>VALUE(CONCATENATE("0",1.7))</f>
        <v>1.7</v>
      </c>
      <c r="H192" s="8">
        <f t="shared" si="29"/>
        <v>0</v>
      </c>
      <c r="I192" s="8">
        <f>VALUE(CONCATENATE("0",1.7))</f>
        <v>1.7</v>
      </c>
      <c r="J192" s="8">
        <f t="shared" si="23"/>
        <v>0</v>
      </c>
      <c r="K192" s="8">
        <f>VALUE(CONCATENATE("0",0))</f>
        <v>0</v>
      </c>
      <c r="L192" s="8">
        <f t="shared" si="32"/>
        <v>0</v>
      </c>
      <c r="M192" s="8">
        <f t="shared" ref="M192:M197" si="33">VALUE(CONCATENATE("0","0.000000"))</f>
        <v>0</v>
      </c>
      <c r="N192" s="8">
        <f t="shared" si="31"/>
        <v>0</v>
      </c>
      <c r="O192" s="7">
        <f>VALUE(CONCATENATE("0",1.7))+VALUE(CONCATENATE("0","0.000000"))-VALUE(CONCATENATE("0",0))-VALUE(CONCATENATE("0",0))-VALUE(CONCATENATE("0",1.7))-VALUE(CONCATENATE("0",0))-VALUE(CONCATENATE("0",0))-VALUE(CONCATENATE("0","0.000000"))</f>
        <v>0</v>
      </c>
      <c r="P192" s="6">
        <v>1</v>
      </c>
    </row>
    <row r="193" spans="1:16" ht="29.1" customHeight="1">
      <c r="A193" s="5" t="s">
        <v>398</v>
      </c>
      <c r="B193" s="10">
        <v>191</v>
      </c>
      <c r="C193" s="13" t="s">
        <v>397</v>
      </c>
      <c r="D193" s="9" t="s">
        <v>396</v>
      </c>
      <c r="E193" s="9" t="s">
        <v>112</v>
      </c>
      <c r="F193" s="9" t="s">
        <v>83</v>
      </c>
      <c r="G193" s="8">
        <f>VALUE(CONCATENATE("0",1.7))</f>
        <v>1.7</v>
      </c>
      <c r="H193" s="8">
        <f t="shared" si="29"/>
        <v>0</v>
      </c>
      <c r="I193" s="8">
        <f>VALUE(CONCATENATE("0",0))</f>
        <v>0</v>
      </c>
      <c r="J193" s="8">
        <f t="shared" si="23"/>
        <v>0</v>
      </c>
      <c r="K193" s="8">
        <f>VALUE(CONCATENATE("0",1.7))</f>
        <v>1.7</v>
      </c>
      <c r="L193" s="8">
        <f t="shared" si="32"/>
        <v>0</v>
      </c>
      <c r="M193" s="8">
        <f t="shared" si="33"/>
        <v>0</v>
      </c>
      <c r="N193" s="8">
        <f t="shared" si="31"/>
        <v>0</v>
      </c>
      <c r="O193" s="7">
        <f>VALUE(CONCATENATE("0",1.7))+VALUE(CONCATENATE("0","0.000000"))-VALUE(CONCATENATE("0",0))-VALUE(CONCATENATE("0",0))-VALUE(CONCATENATE("0",0))-VALUE(CONCATENATE("0",1.7))-VALUE(CONCATENATE("0",0))-VALUE(CONCATENATE("0","0.000000"))</f>
        <v>0</v>
      </c>
      <c r="P193" s="6">
        <v>1</v>
      </c>
    </row>
    <row r="194" spans="1:16" ht="29.1" customHeight="1">
      <c r="A194" s="5" t="s">
        <v>395</v>
      </c>
      <c r="B194" s="10">
        <v>192</v>
      </c>
      <c r="C194" s="13" t="s">
        <v>60</v>
      </c>
      <c r="D194" s="9" t="s">
        <v>394</v>
      </c>
      <c r="E194" s="9" t="s">
        <v>69</v>
      </c>
      <c r="F194" s="9" t="s">
        <v>83</v>
      </c>
      <c r="G194" s="8">
        <f>VALUE(CONCATENATE("0",1.56))</f>
        <v>1.56</v>
      </c>
      <c r="H194" s="8">
        <f t="shared" si="29"/>
        <v>0</v>
      </c>
      <c r="I194" s="8">
        <f>VALUE(CONCATENATE("0",1.56))</f>
        <v>1.56</v>
      </c>
      <c r="J194" s="8">
        <f t="shared" si="23"/>
        <v>0</v>
      </c>
      <c r="K194" s="8">
        <f>VALUE(CONCATENATE("0",0))</f>
        <v>0</v>
      </c>
      <c r="L194" s="8">
        <f t="shared" si="32"/>
        <v>0</v>
      </c>
      <c r="M194" s="8">
        <f t="shared" si="33"/>
        <v>0</v>
      </c>
      <c r="N194" s="8">
        <f t="shared" si="31"/>
        <v>0</v>
      </c>
      <c r="O194" s="7">
        <f>VALUE(CONCATENATE("0",1.56))+VALUE(CONCATENATE("0","0.000000"))-VALUE(CONCATENATE("0",0))-VALUE(CONCATENATE("0",0))-VALUE(CONCATENATE("0",1.56))-VALUE(CONCATENATE("0",0))-VALUE(CONCATENATE("0",0))-VALUE(CONCATENATE("0","0.000000"))</f>
        <v>0</v>
      </c>
      <c r="P194" s="6">
        <v>1</v>
      </c>
    </row>
    <row r="195" spans="1:16" ht="29.1" customHeight="1">
      <c r="A195" s="5" t="s">
        <v>393</v>
      </c>
      <c r="B195" s="10">
        <v>193</v>
      </c>
      <c r="C195" s="13" t="s">
        <v>392</v>
      </c>
      <c r="D195" s="9" t="s">
        <v>391</v>
      </c>
      <c r="E195" s="9" t="s">
        <v>96</v>
      </c>
      <c r="F195" s="9" t="s">
        <v>89</v>
      </c>
      <c r="G195" s="8">
        <f>VALUE(CONCATENATE("0",1.53))</f>
        <v>1.53</v>
      </c>
      <c r="H195" s="8">
        <f t="shared" si="29"/>
        <v>0</v>
      </c>
      <c r="I195" s="8">
        <f>VALUE(CONCATENATE("0",1.53))</f>
        <v>1.53</v>
      </c>
      <c r="J195" s="8">
        <f t="shared" si="23"/>
        <v>0</v>
      </c>
      <c r="K195" s="8">
        <f>VALUE(CONCATENATE("0",0))</f>
        <v>0</v>
      </c>
      <c r="L195" s="8">
        <f t="shared" si="32"/>
        <v>0</v>
      </c>
      <c r="M195" s="8">
        <f t="shared" si="33"/>
        <v>0</v>
      </c>
      <c r="N195" s="8">
        <f t="shared" si="31"/>
        <v>0</v>
      </c>
      <c r="O195" s="7">
        <f>VALUE(CONCATENATE("0",1.53))+VALUE(CONCATENATE("0","0.000000"))-VALUE(CONCATENATE("0",0))-VALUE(CONCATENATE("0",0))-VALUE(CONCATENATE("0",1.53))-VALUE(CONCATENATE("0",0))-VALUE(CONCATENATE("0",0))-VALUE(CONCATENATE("0","0.000000"))</f>
        <v>0</v>
      </c>
      <c r="P195" s="6">
        <v>1</v>
      </c>
    </row>
    <row r="196" spans="1:16" ht="29.1" customHeight="1">
      <c r="A196" s="5" t="s">
        <v>390</v>
      </c>
      <c r="B196" s="10">
        <v>194</v>
      </c>
      <c r="C196" s="13" t="s">
        <v>389</v>
      </c>
      <c r="D196" s="9" t="s">
        <v>388</v>
      </c>
      <c r="E196" s="9" t="s">
        <v>69</v>
      </c>
      <c r="F196" s="9" t="s">
        <v>307</v>
      </c>
      <c r="G196" s="8">
        <f>VALUE(CONCATENATE("0",1.51))</f>
        <v>1.51</v>
      </c>
      <c r="H196" s="8">
        <f t="shared" si="29"/>
        <v>0</v>
      </c>
      <c r="I196" s="8">
        <f>VALUE(CONCATENATE("0",0))</f>
        <v>0</v>
      </c>
      <c r="J196" s="8">
        <f t="shared" si="23"/>
        <v>0</v>
      </c>
      <c r="K196" s="8">
        <f>VALUE(CONCATENATE("0",0))</f>
        <v>0</v>
      </c>
      <c r="L196" s="8">
        <f>VALUE(CONCATENATE("0",1.51))</f>
        <v>1.51</v>
      </c>
      <c r="M196" s="8">
        <f t="shared" si="33"/>
        <v>0</v>
      </c>
      <c r="N196" s="8">
        <f t="shared" si="31"/>
        <v>0</v>
      </c>
      <c r="O196" s="7">
        <f>VALUE(CONCATENATE("0",1.51))+VALUE(CONCATENATE("0","0.000000"))-VALUE(CONCATENATE("0",0))-VALUE(CONCATENATE("0",0))-VALUE(CONCATENATE("0",0))-VALUE(CONCATENATE("0",0))-VALUE(CONCATENATE("0",1.51))-VALUE(CONCATENATE("0","0.000000"))</f>
        <v>0</v>
      </c>
      <c r="P196" s="6">
        <v>0</v>
      </c>
    </row>
    <row r="197" spans="1:16" ht="29.1" customHeight="1">
      <c r="A197" s="5" t="s">
        <v>387</v>
      </c>
      <c r="B197" s="10">
        <v>195</v>
      </c>
      <c r="C197" s="13" t="s">
        <v>386</v>
      </c>
      <c r="D197" s="9" t="s">
        <v>231</v>
      </c>
      <c r="E197" s="9" t="s">
        <v>65</v>
      </c>
      <c r="F197" s="9" t="s">
        <v>80</v>
      </c>
      <c r="G197" s="8">
        <f>VALUE(CONCATENATE("0",1.5))</f>
        <v>1.5</v>
      </c>
      <c r="H197" s="8">
        <f t="shared" si="29"/>
        <v>0</v>
      </c>
      <c r="I197" s="8">
        <f>VALUE(CONCATENATE("0",0))</f>
        <v>0</v>
      </c>
      <c r="J197" s="8">
        <f t="shared" si="23"/>
        <v>0</v>
      </c>
      <c r="K197" s="8">
        <f>VALUE(CONCATENATE("0",1.5))</f>
        <v>1.5</v>
      </c>
      <c r="L197" s="8">
        <f t="shared" ref="L197:L203" si="34">VALUE(CONCATENATE("0",0))</f>
        <v>0</v>
      </c>
      <c r="M197" s="8">
        <f t="shared" si="33"/>
        <v>0</v>
      </c>
      <c r="N197" s="8">
        <f t="shared" si="31"/>
        <v>0</v>
      </c>
      <c r="O197" s="7">
        <f>VALUE(CONCATENATE("0",1.5))+VALUE(CONCATENATE("0","0.000000"))-VALUE(CONCATENATE("0",0))-VALUE(CONCATENATE("0",0))-VALUE(CONCATENATE("0",0))-VALUE(CONCATENATE("0",1.5))-VALUE(CONCATENATE("0",0))-VALUE(CONCATENATE("0","0.000000"))</f>
        <v>0</v>
      </c>
      <c r="P197" s="6">
        <v>1</v>
      </c>
    </row>
    <row r="198" spans="1:16" ht="29.1" customHeight="1">
      <c r="A198" s="5" t="s">
        <v>385</v>
      </c>
      <c r="B198" s="10">
        <v>196</v>
      </c>
      <c r="C198" s="13" t="s">
        <v>384</v>
      </c>
      <c r="D198" s="9" t="s">
        <v>383</v>
      </c>
      <c r="E198" s="9" t="s">
        <v>65</v>
      </c>
      <c r="F198" s="9" t="s">
        <v>382</v>
      </c>
      <c r="G198" s="8">
        <f>VALUE(CONCATENATE("0",1.5))</f>
        <v>1.5</v>
      </c>
      <c r="H198" s="8">
        <f t="shared" si="29"/>
        <v>0</v>
      </c>
      <c r="I198" s="8">
        <f>VALUE(CONCATENATE("0",0))</f>
        <v>0</v>
      </c>
      <c r="J198" s="8">
        <f t="shared" si="23"/>
        <v>0</v>
      </c>
      <c r="K198" s="8">
        <f>VALUE(CONCATENATE("0",0))</f>
        <v>0</v>
      </c>
      <c r="L198" s="8">
        <f t="shared" si="34"/>
        <v>0</v>
      </c>
      <c r="M198" s="8">
        <f>VALUE(CONCATENATE("0","1.500000"))</f>
        <v>1.5</v>
      </c>
      <c r="N198" s="8">
        <f t="shared" si="31"/>
        <v>0</v>
      </c>
      <c r="O198" s="7">
        <f>VALUE(CONCATENATE("0",1.5))+VALUE(CONCATENATE("0","0.000000"))-VALUE(CONCATENATE("0",0))-VALUE(CONCATENATE("0",0))-VALUE(CONCATENATE("0",0))-VALUE(CONCATENATE("0",0))-VALUE(CONCATENATE("0",0))-VALUE(CONCATENATE("0","1.500000"))</f>
        <v>0</v>
      </c>
      <c r="P198" s="6">
        <v>0</v>
      </c>
    </row>
    <row r="199" spans="1:16" ht="29.1" customHeight="1">
      <c r="A199" s="5" t="s">
        <v>381</v>
      </c>
      <c r="B199" s="10">
        <v>197</v>
      </c>
      <c r="C199" s="13" t="s">
        <v>380</v>
      </c>
      <c r="D199" s="9" t="s">
        <v>379</v>
      </c>
      <c r="E199" s="9" t="s">
        <v>96</v>
      </c>
      <c r="F199" s="9" t="s">
        <v>89</v>
      </c>
      <c r="G199" s="8">
        <f>VALUE(CONCATENATE("0",1.43))</f>
        <v>1.43</v>
      </c>
      <c r="H199" s="8">
        <f t="shared" si="29"/>
        <v>0</v>
      </c>
      <c r="I199" s="8">
        <f>VALUE(CONCATENATE("0",1.43))</f>
        <v>1.43</v>
      </c>
      <c r="J199" s="8">
        <f t="shared" si="23"/>
        <v>0</v>
      </c>
      <c r="K199" s="8">
        <f>VALUE(CONCATENATE("0",0))</f>
        <v>0</v>
      </c>
      <c r="L199" s="8">
        <f t="shared" si="34"/>
        <v>0</v>
      </c>
      <c r="M199" s="8">
        <f>VALUE(CONCATENATE("0","0.000000"))</f>
        <v>0</v>
      </c>
      <c r="N199" s="8">
        <f t="shared" si="31"/>
        <v>0</v>
      </c>
      <c r="O199" s="7">
        <f>VALUE(CONCATENATE("0",1.43))+VALUE(CONCATENATE("0","0.000000"))-VALUE(CONCATENATE("0",0))-VALUE(CONCATENATE("0",0))-VALUE(CONCATENATE("0",1.43))-VALUE(CONCATENATE("0",0))-VALUE(CONCATENATE("0",0))-VALUE(CONCATENATE("0","0.000000"))</f>
        <v>0</v>
      </c>
      <c r="P199" s="6">
        <v>1</v>
      </c>
    </row>
    <row r="200" spans="1:16" ht="29.1" customHeight="1">
      <c r="A200" s="5" t="s">
        <v>378</v>
      </c>
      <c r="B200" s="10">
        <v>198</v>
      </c>
      <c r="C200" s="13" t="s">
        <v>377</v>
      </c>
      <c r="D200" s="9" t="s">
        <v>289</v>
      </c>
      <c r="E200" s="9" t="s">
        <v>67</v>
      </c>
      <c r="F200" s="9" t="s">
        <v>80</v>
      </c>
      <c r="G200" s="8">
        <f>VALUE(CONCATENATE("0",1.4))</f>
        <v>1.4</v>
      </c>
      <c r="H200" s="8">
        <f t="shared" ref="H200:H231" si="35">VALUE(CONCATENATE("0",0))</f>
        <v>0</v>
      </c>
      <c r="I200" s="8">
        <f>VALUE(CONCATENATE("0",0))</f>
        <v>0</v>
      </c>
      <c r="J200" s="8">
        <f t="shared" si="23"/>
        <v>0</v>
      </c>
      <c r="K200" s="8">
        <f>VALUE(CONCATENATE("0",1.1))</f>
        <v>1.1000000000000001</v>
      </c>
      <c r="L200" s="8">
        <f t="shared" si="34"/>
        <v>0</v>
      </c>
      <c r="M200" s="8">
        <f>VALUE(CONCATENATE("0","0.300000"))</f>
        <v>0.3</v>
      </c>
      <c r="N200" s="8">
        <f t="shared" si="31"/>
        <v>0</v>
      </c>
      <c r="O200" s="7">
        <f>VALUE(CONCATENATE("0",1.4))+VALUE(CONCATENATE("0","0.000000"))-VALUE(CONCATENATE("0",0))-VALUE(CONCATENATE("0",0))-VALUE(CONCATENATE("0",0))-VALUE(CONCATENATE("0",1.1))-VALUE(CONCATENATE("0",0))-VALUE(CONCATENATE("0","0.300000"))</f>
        <v>0</v>
      </c>
      <c r="P200" s="6">
        <v>0.78571428571428581</v>
      </c>
    </row>
    <row r="201" spans="1:16" ht="24.95" customHeight="1">
      <c r="A201" s="5" t="s">
        <v>376</v>
      </c>
      <c r="B201" s="10">
        <v>199</v>
      </c>
      <c r="C201" s="13" t="s">
        <v>375</v>
      </c>
      <c r="D201" s="9" t="s">
        <v>374</v>
      </c>
      <c r="E201" s="9" t="s">
        <v>108</v>
      </c>
      <c r="F201" s="9" t="s">
        <v>83</v>
      </c>
      <c r="G201" s="8">
        <f>VALUE(CONCATENATE("0",1.32))</f>
        <v>1.32</v>
      </c>
      <c r="H201" s="8">
        <f t="shared" si="35"/>
        <v>0</v>
      </c>
      <c r="I201" s="8">
        <f>VALUE(CONCATENATE("0",0))</f>
        <v>0</v>
      </c>
      <c r="J201" s="8">
        <f t="shared" ref="J201:J264" si="36">VALUE(CONCATENATE("0",0))</f>
        <v>0</v>
      </c>
      <c r="K201" s="8">
        <f>VALUE(CONCATENATE("0",1.32))</f>
        <v>1.32</v>
      </c>
      <c r="L201" s="8">
        <f t="shared" si="34"/>
        <v>0</v>
      </c>
      <c r="M201" s="8">
        <f>VALUE(CONCATENATE("0","0.000000"))</f>
        <v>0</v>
      </c>
      <c r="N201" s="8">
        <f t="shared" si="31"/>
        <v>0</v>
      </c>
      <c r="O201" s="7">
        <f>VALUE(CONCATENATE("0",1.32))+VALUE(CONCATENATE("0","0.000000"))-VALUE(CONCATENATE("0",0))-VALUE(CONCATENATE("0",0))-VALUE(CONCATENATE("0",0))-VALUE(CONCATENATE("0",1.32))-VALUE(CONCATENATE("0",0))-VALUE(CONCATENATE("0","0.000000"))</f>
        <v>0</v>
      </c>
      <c r="P201" s="6">
        <v>1</v>
      </c>
    </row>
    <row r="202" spans="1:16" ht="29.1" customHeight="1">
      <c r="A202" s="5" t="s">
        <v>373</v>
      </c>
      <c r="B202" s="10">
        <v>200</v>
      </c>
      <c r="C202" s="13" t="s">
        <v>372</v>
      </c>
      <c r="D202" s="9" t="s">
        <v>371</v>
      </c>
      <c r="E202" s="9" t="s">
        <v>112</v>
      </c>
      <c r="F202" s="9" t="s">
        <v>83</v>
      </c>
      <c r="G202" s="8">
        <f>VALUE(CONCATENATE("0",1.2))</f>
        <v>1.2</v>
      </c>
      <c r="H202" s="8">
        <f t="shared" si="35"/>
        <v>0</v>
      </c>
      <c r="I202" s="8">
        <f>VALUE(CONCATENATE("0",0))</f>
        <v>0</v>
      </c>
      <c r="J202" s="8">
        <f t="shared" si="36"/>
        <v>0</v>
      </c>
      <c r="K202" s="8">
        <f>VALUE(CONCATENATE("0",0.5))</f>
        <v>0.5</v>
      </c>
      <c r="L202" s="8">
        <f t="shared" si="34"/>
        <v>0</v>
      </c>
      <c r="M202" s="8">
        <f>VALUE(CONCATENATE("0","1.200000"))</f>
        <v>1.2</v>
      </c>
      <c r="N202" s="8">
        <f>VALUE(CONCATENATE("0","0.500000"))</f>
        <v>0.5</v>
      </c>
      <c r="O202" s="7">
        <f>VALUE(CONCATENATE("0",1.2))+VALUE(CONCATENATE("0","0.500000"))-VALUE(CONCATENATE("0",0))-VALUE(CONCATENATE("0",0))-VALUE(CONCATENATE("0",0))-VALUE(CONCATENATE("0",0.5))-VALUE(CONCATENATE("0",0))-VALUE(CONCATENATE("0","1.200000"))</f>
        <v>0</v>
      </c>
      <c r="P202" s="6">
        <v>0.29411764705882354</v>
      </c>
    </row>
    <row r="203" spans="1:16" ht="24.95" customHeight="1">
      <c r="A203" s="5" t="s">
        <v>370</v>
      </c>
      <c r="B203" s="10">
        <v>201</v>
      </c>
      <c r="C203" s="13" t="s">
        <v>369</v>
      </c>
      <c r="D203" s="9" t="s">
        <v>368</v>
      </c>
      <c r="E203" s="9" t="s">
        <v>96</v>
      </c>
      <c r="F203" s="9" t="s">
        <v>83</v>
      </c>
      <c r="G203" s="8">
        <f>VALUE(CONCATENATE("0",1.173))</f>
        <v>1.173</v>
      </c>
      <c r="H203" s="8">
        <f t="shared" si="35"/>
        <v>0</v>
      </c>
      <c r="I203" s="8">
        <f>VALUE(CONCATENATE("0",0))</f>
        <v>0</v>
      </c>
      <c r="J203" s="8">
        <f t="shared" si="36"/>
        <v>0</v>
      </c>
      <c r="K203" s="8">
        <f>VALUE(CONCATENATE("0",1.173))</f>
        <v>1.173</v>
      </c>
      <c r="L203" s="8">
        <f t="shared" si="34"/>
        <v>0</v>
      </c>
      <c r="M203" s="8">
        <f t="shared" ref="M203:N206" si="37">VALUE(CONCATENATE("0","0.000000"))</f>
        <v>0</v>
      </c>
      <c r="N203" s="8">
        <f t="shared" si="37"/>
        <v>0</v>
      </c>
      <c r="O203" s="7">
        <f>VALUE(CONCATENATE("0",1.173))+VALUE(CONCATENATE("0","0.000000"))-VALUE(CONCATENATE("0",0))-VALUE(CONCATENATE("0",0))-VALUE(CONCATENATE("0",0))-VALUE(CONCATENATE("0",1.173))-VALUE(CONCATENATE("0",0))-VALUE(CONCATENATE("0","0.000000"))</f>
        <v>0</v>
      </c>
      <c r="P203" s="6">
        <v>1</v>
      </c>
    </row>
    <row r="204" spans="1:16" ht="29.1" customHeight="1">
      <c r="A204" s="5" t="s">
        <v>367</v>
      </c>
      <c r="B204" s="10">
        <v>202</v>
      </c>
      <c r="C204" s="13" t="s">
        <v>366</v>
      </c>
      <c r="D204" s="9" t="s">
        <v>365</v>
      </c>
      <c r="E204" s="9" t="s">
        <v>69</v>
      </c>
      <c r="F204" s="9" t="s">
        <v>307</v>
      </c>
      <c r="G204" s="8">
        <f>VALUE(CONCATENATE("0",1.1))</f>
        <v>1.1000000000000001</v>
      </c>
      <c r="H204" s="8">
        <f t="shared" si="35"/>
        <v>0</v>
      </c>
      <c r="I204" s="8">
        <f>VALUE(CONCATENATE("0",0))</f>
        <v>0</v>
      </c>
      <c r="J204" s="8">
        <f t="shared" si="36"/>
        <v>0</v>
      </c>
      <c r="K204" s="8">
        <f>VALUE(CONCATENATE("0",0))</f>
        <v>0</v>
      </c>
      <c r="L204" s="8">
        <f>VALUE(CONCATENATE("0",1.1))</f>
        <v>1.1000000000000001</v>
      </c>
      <c r="M204" s="8">
        <f t="shared" si="37"/>
        <v>0</v>
      </c>
      <c r="N204" s="8">
        <f t="shared" si="37"/>
        <v>0</v>
      </c>
      <c r="O204" s="7">
        <f>VALUE(CONCATENATE("0",1.1))+VALUE(CONCATENATE("0","0.000000"))-VALUE(CONCATENATE("0",0))-VALUE(CONCATENATE("0",0))-VALUE(CONCATENATE("0",0))-VALUE(CONCATENATE("0",0))-VALUE(CONCATENATE("0",1.1))-VALUE(CONCATENATE("0","0.000000"))</f>
        <v>0</v>
      </c>
      <c r="P204" s="6">
        <v>0</v>
      </c>
    </row>
    <row r="205" spans="1:16" ht="29.1" customHeight="1">
      <c r="A205" s="5" t="s">
        <v>364</v>
      </c>
      <c r="B205" s="10">
        <v>203</v>
      </c>
      <c r="C205" s="13" t="s">
        <v>363</v>
      </c>
      <c r="D205" s="9" t="s">
        <v>362</v>
      </c>
      <c r="E205" s="9" t="s">
        <v>65</v>
      </c>
      <c r="F205" s="9" t="s">
        <v>83</v>
      </c>
      <c r="G205" s="8">
        <f>VALUE(CONCATENATE("0",1.1))</f>
        <v>1.1000000000000001</v>
      </c>
      <c r="H205" s="8">
        <f t="shared" si="35"/>
        <v>0</v>
      </c>
      <c r="I205" s="8">
        <f>VALUE(CONCATENATE("0",1.1))</f>
        <v>1.1000000000000001</v>
      </c>
      <c r="J205" s="8">
        <f t="shared" si="36"/>
        <v>0</v>
      </c>
      <c r="K205" s="8">
        <f>VALUE(CONCATENATE("0",0))</f>
        <v>0</v>
      </c>
      <c r="L205" s="8">
        <f>VALUE(CONCATENATE("0",0))</f>
        <v>0</v>
      </c>
      <c r="M205" s="8">
        <f t="shared" si="37"/>
        <v>0</v>
      </c>
      <c r="N205" s="8">
        <f t="shared" si="37"/>
        <v>0</v>
      </c>
      <c r="O205" s="7">
        <f>VALUE(CONCATENATE("0",1.1))+VALUE(CONCATENATE("0","0.000000"))-VALUE(CONCATENATE("0",0))-VALUE(CONCATENATE("0",0))-VALUE(CONCATENATE("0",1.1))-VALUE(CONCATENATE("0",0))-VALUE(CONCATENATE("0",0))-VALUE(CONCATENATE("0","0.000000"))</f>
        <v>0</v>
      </c>
      <c r="P205" s="6">
        <v>1</v>
      </c>
    </row>
    <row r="206" spans="1:16" ht="29.1" customHeight="1">
      <c r="A206" s="5" t="s">
        <v>361</v>
      </c>
      <c r="B206" s="10">
        <v>204</v>
      </c>
      <c r="C206" s="13" t="s">
        <v>360</v>
      </c>
      <c r="D206" s="9" t="s">
        <v>359</v>
      </c>
      <c r="E206" s="9" t="s">
        <v>65</v>
      </c>
      <c r="F206" s="9" t="s">
        <v>80</v>
      </c>
      <c r="G206" s="8">
        <f>VALUE(CONCATENATE("0",1.1))</f>
        <v>1.1000000000000001</v>
      </c>
      <c r="H206" s="8">
        <f t="shared" si="35"/>
        <v>0</v>
      </c>
      <c r="I206" s="8">
        <f>VALUE(CONCATENATE("0",0))</f>
        <v>0</v>
      </c>
      <c r="J206" s="8">
        <f t="shared" si="36"/>
        <v>0</v>
      </c>
      <c r="K206" s="8">
        <f>VALUE(CONCATENATE("0",1.1))</f>
        <v>1.1000000000000001</v>
      </c>
      <c r="L206" s="8">
        <f>VALUE(CONCATENATE("0",0))</f>
        <v>0</v>
      </c>
      <c r="M206" s="8">
        <f t="shared" si="37"/>
        <v>0</v>
      </c>
      <c r="N206" s="8">
        <f t="shared" si="37"/>
        <v>0</v>
      </c>
      <c r="O206" s="7">
        <f>VALUE(CONCATENATE("0",1.1))+VALUE(CONCATENATE("0","0.000000"))-VALUE(CONCATENATE("0",0))-VALUE(CONCATENATE("0",0))-VALUE(CONCATENATE("0",0))-VALUE(CONCATENATE("0",1.1))-VALUE(CONCATENATE("0",0))-VALUE(CONCATENATE("0","0.000000"))</f>
        <v>0</v>
      </c>
      <c r="P206" s="6">
        <v>1</v>
      </c>
    </row>
    <row r="207" spans="1:16" ht="29.1" customHeight="1">
      <c r="A207" s="5" t="s">
        <v>358</v>
      </c>
      <c r="B207" s="10">
        <v>205</v>
      </c>
      <c r="C207" s="13" t="s">
        <v>357</v>
      </c>
      <c r="D207" s="9" t="s">
        <v>356</v>
      </c>
      <c r="E207" s="9" t="s">
        <v>96</v>
      </c>
      <c r="F207" s="9" t="s">
        <v>83</v>
      </c>
      <c r="G207" s="8">
        <f>VALUE(CONCATENATE("0",1.1))</f>
        <v>1.1000000000000001</v>
      </c>
      <c r="H207" s="8">
        <f t="shared" si="35"/>
        <v>0</v>
      </c>
      <c r="I207" s="8">
        <f>VALUE(CONCATENATE("0",0))</f>
        <v>0</v>
      </c>
      <c r="J207" s="8">
        <f t="shared" si="36"/>
        <v>0</v>
      </c>
      <c r="K207" s="8">
        <f>VALUE(CONCATENATE("0",0))</f>
        <v>0</v>
      </c>
      <c r="L207" s="8">
        <f>VALUE(CONCATENATE("0",0))</f>
        <v>0</v>
      </c>
      <c r="M207" s="8">
        <f>VALUE(CONCATENATE("0","1.100000"))</f>
        <v>1.1000000000000001</v>
      </c>
      <c r="N207" s="8">
        <f>VALUE(CONCATENATE("0","0.000000"))</f>
        <v>0</v>
      </c>
      <c r="O207" s="7">
        <f>VALUE(CONCATENATE("0",1.1))+VALUE(CONCATENATE("0","0.000000"))-VALUE(CONCATENATE("0",0))-VALUE(CONCATENATE("0",0))-VALUE(CONCATENATE("0",0))-VALUE(CONCATENATE("0",0))-VALUE(CONCATENATE("0",0))-VALUE(CONCATENATE("0","1.100000"))</f>
        <v>0</v>
      </c>
      <c r="P207" s="6">
        <v>0</v>
      </c>
    </row>
    <row r="208" spans="1:16" ht="29.1" customHeight="1">
      <c r="A208" s="5" t="s">
        <v>355</v>
      </c>
      <c r="B208" s="10">
        <v>206</v>
      </c>
      <c r="C208" s="13" t="s">
        <v>354</v>
      </c>
      <c r="D208" s="9" t="s">
        <v>353</v>
      </c>
      <c r="E208" s="9" t="s">
        <v>96</v>
      </c>
      <c r="F208" s="9" t="s">
        <v>89</v>
      </c>
      <c r="G208" s="8">
        <f>VALUE(CONCATENATE("0",1.02))</f>
        <v>1.02</v>
      </c>
      <c r="H208" s="8">
        <f t="shared" si="35"/>
        <v>0</v>
      </c>
      <c r="I208" s="8">
        <f>VALUE(CONCATENATE("0",1.02))</f>
        <v>1.02</v>
      </c>
      <c r="J208" s="8">
        <f t="shared" si="36"/>
        <v>0</v>
      </c>
      <c r="K208" s="8">
        <f>VALUE(CONCATENATE("0",0))</f>
        <v>0</v>
      </c>
      <c r="L208" s="8">
        <f>VALUE(CONCATENATE("0",0))</f>
        <v>0</v>
      </c>
      <c r="M208" s="8">
        <f>VALUE(CONCATENATE("0","0.000000"))</f>
        <v>0</v>
      </c>
      <c r="N208" s="8">
        <f>VALUE(CONCATENATE("0","0.000000"))</f>
        <v>0</v>
      </c>
      <c r="O208" s="7">
        <f>VALUE(CONCATENATE("0",1.02))+VALUE(CONCATENATE("0","0.000000"))-VALUE(CONCATENATE("0",0))-VALUE(CONCATENATE("0",0))-VALUE(CONCATENATE("0",1.02))-VALUE(CONCATENATE("0",0))-VALUE(CONCATENATE("0",0))-VALUE(CONCATENATE("0","0.000000"))</f>
        <v>0</v>
      </c>
      <c r="P208" s="6">
        <v>1</v>
      </c>
    </row>
    <row r="209" spans="1:16" ht="29.1" customHeight="1">
      <c r="A209" s="5" t="s">
        <v>352</v>
      </c>
      <c r="B209" s="10">
        <v>207</v>
      </c>
      <c r="C209" s="13" t="s">
        <v>351</v>
      </c>
      <c r="D209" s="9" t="s">
        <v>350</v>
      </c>
      <c r="E209" s="9" t="s">
        <v>96</v>
      </c>
      <c r="F209" s="9" t="s">
        <v>89</v>
      </c>
      <c r="G209" s="8">
        <f>VALUE(CONCATENATE("0",1.02))</f>
        <v>1.02</v>
      </c>
      <c r="H209" s="8">
        <f t="shared" si="35"/>
        <v>0</v>
      </c>
      <c r="I209" s="8">
        <f>VALUE(CONCATENATE("0",1.02))</f>
        <v>1.02</v>
      </c>
      <c r="J209" s="8">
        <f t="shared" si="36"/>
        <v>0</v>
      </c>
      <c r="K209" s="8">
        <f>VALUE(CONCATENATE("0",0))</f>
        <v>0</v>
      </c>
      <c r="L209" s="8">
        <f>VALUE(CONCATENATE("0",0))</f>
        <v>0</v>
      </c>
      <c r="M209" s="8">
        <f>VALUE(CONCATENATE("0","0.000000"))</f>
        <v>0</v>
      </c>
      <c r="N209" s="8">
        <f>VALUE(CONCATENATE("0","0.000000"))</f>
        <v>0</v>
      </c>
      <c r="O209" s="7">
        <f>VALUE(CONCATENATE("0",1.02))+VALUE(CONCATENATE("0","0.000000"))-VALUE(CONCATENATE("0",0))-VALUE(CONCATENATE("0",0))-VALUE(CONCATENATE("0",1.02))-VALUE(CONCATENATE("0",0))-VALUE(CONCATENATE("0",0))-VALUE(CONCATENATE("0","0.000000"))</f>
        <v>0</v>
      </c>
      <c r="P209" s="6">
        <v>1</v>
      </c>
    </row>
    <row r="210" spans="1:16" ht="29.1" customHeight="1">
      <c r="A210" s="5" t="s">
        <v>349</v>
      </c>
      <c r="B210" s="10">
        <v>208</v>
      </c>
      <c r="C210" s="13" t="s">
        <v>348</v>
      </c>
      <c r="D210" s="9" t="s">
        <v>347</v>
      </c>
      <c r="E210" s="9" t="s">
        <v>69</v>
      </c>
      <c r="F210" s="9" t="s">
        <v>307</v>
      </c>
      <c r="G210" s="8">
        <f>VALUE(CONCATENATE("0",1))</f>
        <v>1</v>
      </c>
      <c r="H210" s="8">
        <f t="shared" si="35"/>
        <v>0</v>
      </c>
      <c r="I210" s="8">
        <f>VALUE(CONCATENATE("0",0))</f>
        <v>0</v>
      </c>
      <c r="J210" s="8">
        <f t="shared" si="36"/>
        <v>0</v>
      </c>
      <c r="K210" s="8">
        <f>VALUE(CONCATENATE("0",0))</f>
        <v>0</v>
      </c>
      <c r="L210" s="8">
        <f>VALUE(CONCATENATE("0",1))</f>
        <v>1</v>
      </c>
      <c r="M210" s="8">
        <f>VALUE(CONCATENATE("0","0.000000"))</f>
        <v>0</v>
      </c>
      <c r="N210" s="8">
        <f>VALUE(CONCATENATE("0","0.000000"))</f>
        <v>0</v>
      </c>
      <c r="O210" s="7">
        <f>VALUE(CONCATENATE("0",1))+VALUE(CONCATENATE("0","0.000000"))-VALUE(CONCATENATE("0",0))-VALUE(CONCATENATE("0",0))-VALUE(CONCATENATE("0",0))-VALUE(CONCATENATE("0",0))-VALUE(CONCATENATE("0",1))-VALUE(CONCATENATE("0","0.000000"))</f>
        <v>0</v>
      </c>
      <c r="P210" s="6">
        <v>0</v>
      </c>
    </row>
    <row r="211" spans="1:16" ht="29.1" customHeight="1">
      <c r="A211" s="5" t="s">
        <v>346</v>
      </c>
      <c r="B211" s="10">
        <v>209</v>
      </c>
      <c r="C211" s="13" t="s">
        <v>345</v>
      </c>
      <c r="D211" s="9" t="s">
        <v>344</v>
      </c>
      <c r="E211" s="9" t="s">
        <v>108</v>
      </c>
      <c r="F211" s="9" t="s">
        <v>83</v>
      </c>
      <c r="G211" s="8">
        <f>VALUE(CONCATENATE("0",0.9954))</f>
        <v>0.99539999999999995</v>
      </c>
      <c r="H211" s="8">
        <f t="shared" si="35"/>
        <v>0</v>
      </c>
      <c r="I211" s="8">
        <f>VALUE(CONCATENATE("0",0))</f>
        <v>0</v>
      </c>
      <c r="J211" s="8">
        <f t="shared" si="36"/>
        <v>0</v>
      </c>
      <c r="K211" s="8">
        <f>VALUE(CONCATENATE("0",0.95))</f>
        <v>0.95</v>
      </c>
      <c r="L211" s="8">
        <f t="shared" ref="L211:L221" si="38">VALUE(CONCATENATE("0",0))</f>
        <v>0</v>
      </c>
      <c r="M211" s="8">
        <f>VALUE(CONCATENATE("0","0.045400"))</f>
        <v>4.5400000000000003E-2</v>
      </c>
      <c r="N211" s="8">
        <f>VALUE(CONCATENATE("0","0.000000"))</f>
        <v>0</v>
      </c>
      <c r="O211" s="7">
        <f>VALUE(CONCATENATE("0",0.9954))+VALUE(CONCATENATE("0","0.000000"))-VALUE(CONCATENATE("0",0))-VALUE(CONCATENATE("0",0))-VALUE(CONCATENATE("0",0))-VALUE(CONCATENATE("0",0.95))-VALUE(CONCATENATE("0",0))-VALUE(CONCATENATE("0","0.045400"))</f>
        <v>0</v>
      </c>
      <c r="P211" s="6">
        <v>0.95439019489652399</v>
      </c>
    </row>
    <row r="212" spans="1:16" ht="29.1" customHeight="1">
      <c r="A212" s="5" t="s">
        <v>343</v>
      </c>
      <c r="B212" s="10">
        <v>210</v>
      </c>
      <c r="C212" s="13" t="s">
        <v>342</v>
      </c>
      <c r="D212" s="9" t="s">
        <v>341</v>
      </c>
      <c r="E212" s="9" t="s">
        <v>112</v>
      </c>
      <c r="F212" s="9" t="s">
        <v>83</v>
      </c>
      <c r="G212" s="8">
        <f>VALUE(CONCATENATE("0",0.932))</f>
        <v>0.93200000000000005</v>
      </c>
      <c r="H212" s="8">
        <f t="shared" si="35"/>
        <v>0</v>
      </c>
      <c r="I212" s="8">
        <f>VALUE(CONCATENATE("0",1.412))</f>
        <v>1.4119999999999999</v>
      </c>
      <c r="J212" s="8">
        <f t="shared" si="36"/>
        <v>0</v>
      </c>
      <c r="K212" s="8">
        <f>VALUE(CONCATENATE("0",0.177))</f>
        <v>0.17699999999999999</v>
      </c>
      <c r="L212" s="8">
        <f t="shared" si="38"/>
        <v>0</v>
      </c>
      <c r="M212" s="8">
        <f>VALUE(CONCATENATE("0","0.120000"))</f>
        <v>0.12</v>
      </c>
      <c r="N212" s="8">
        <f>VALUE(CONCATENATE("0","0.777000"))</f>
        <v>0.77700000000000002</v>
      </c>
      <c r="O212" s="7">
        <f>VALUE(CONCATENATE("0",0.932))+VALUE(CONCATENATE("0","0.777000"))-VALUE(CONCATENATE("0",0))-VALUE(CONCATENATE("0",0))-VALUE(CONCATENATE("0",1.412))-VALUE(CONCATENATE("0",0.177))-VALUE(CONCATENATE("0",0))-VALUE(CONCATENATE("0","0.120000"))</f>
        <v>1.6653345369377348E-16</v>
      </c>
      <c r="P212" s="6">
        <v>0.92978349912229363</v>
      </c>
    </row>
    <row r="213" spans="1:16" ht="29.1" customHeight="1">
      <c r="A213" s="5" t="s">
        <v>340</v>
      </c>
      <c r="B213" s="10">
        <v>211</v>
      </c>
      <c r="C213" s="13" t="s">
        <v>339</v>
      </c>
      <c r="D213" s="9" t="s">
        <v>338</v>
      </c>
      <c r="E213" s="9" t="s">
        <v>96</v>
      </c>
      <c r="F213" s="9" t="s">
        <v>89</v>
      </c>
      <c r="G213" s="8">
        <f>VALUE(CONCATENATE("0",0.9))</f>
        <v>0.9</v>
      </c>
      <c r="H213" s="8">
        <f t="shared" si="35"/>
        <v>0</v>
      </c>
      <c r="I213" s="8">
        <f t="shared" ref="I213:I222" si="39">VALUE(CONCATENATE("0",0))</f>
        <v>0</v>
      </c>
      <c r="J213" s="8">
        <f t="shared" si="36"/>
        <v>0</v>
      </c>
      <c r="K213" s="8">
        <f>VALUE(CONCATENATE("0",0.9))</f>
        <v>0.9</v>
      </c>
      <c r="L213" s="8">
        <f t="shared" si="38"/>
        <v>0</v>
      </c>
      <c r="M213" s="8">
        <f t="shared" ref="M213:N224" si="40">VALUE(CONCATENATE("0","0.000000"))</f>
        <v>0</v>
      </c>
      <c r="N213" s="8">
        <f t="shared" si="40"/>
        <v>0</v>
      </c>
      <c r="O213" s="7">
        <f>VALUE(CONCATENATE("0",0.9))+VALUE(CONCATENATE("0","0.000000"))-VALUE(CONCATENATE("0",0))-VALUE(CONCATENATE("0",0))-VALUE(CONCATENATE("0",0))-VALUE(CONCATENATE("0",0.9))-VALUE(CONCATENATE("0",0))-VALUE(CONCATENATE("0","0.000000"))</f>
        <v>0</v>
      </c>
      <c r="P213" s="6">
        <v>1</v>
      </c>
    </row>
    <row r="214" spans="1:16" ht="24.95" customHeight="1">
      <c r="A214" s="5" t="s">
        <v>337</v>
      </c>
      <c r="B214" s="10">
        <v>212</v>
      </c>
      <c r="C214" s="13" t="s">
        <v>336</v>
      </c>
      <c r="D214" s="9" t="s">
        <v>335</v>
      </c>
      <c r="E214" s="9" t="s">
        <v>66</v>
      </c>
      <c r="F214" s="9" t="s">
        <v>83</v>
      </c>
      <c r="G214" s="8">
        <f>VALUE(CONCATENATE("0",0.9))</f>
        <v>0.9</v>
      </c>
      <c r="H214" s="8">
        <f t="shared" si="35"/>
        <v>0</v>
      </c>
      <c r="I214" s="8">
        <f t="shared" si="39"/>
        <v>0</v>
      </c>
      <c r="J214" s="8">
        <f t="shared" si="36"/>
        <v>0</v>
      </c>
      <c r="K214" s="8">
        <f>VALUE(CONCATENATE("0",0.9))</f>
        <v>0.9</v>
      </c>
      <c r="L214" s="8">
        <f t="shared" si="38"/>
        <v>0</v>
      </c>
      <c r="M214" s="8">
        <f t="shared" si="40"/>
        <v>0</v>
      </c>
      <c r="N214" s="8">
        <f t="shared" si="40"/>
        <v>0</v>
      </c>
      <c r="O214" s="7">
        <f>VALUE(CONCATENATE("0",0.9))+VALUE(CONCATENATE("0","0.000000"))-VALUE(CONCATENATE("0",0))-VALUE(CONCATENATE("0",0))-VALUE(CONCATENATE("0",0))-VALUE(CONCATENATE("0",0.9))-VALUE(CONCATENATE("0",0))-VALUE(CONCATENATE("0","0.000000"))</f>
        <v>0</v>
      </c>
      <c r="P214" s="6">
        <v>1</v>
      </c>
    </row>
    <row r="215" spans="1:16" ht="29.1" customHeight="1">
      <c r="A215" s="5" t="s">
        <v>334</v>
      </c>
      <c r="B215" s="10">
        <v>213</v>
      </c>
      <c r="C215" s="13" t="s">
        <v>333</v>
      </c>
      <c r="D215" s="9" t="s">
        <v>332</v>
      </c>
      <c r="E215" s="9" t="s">
        <v>73</v>
      </c>
      <c r="F215" s="9" t="s">
        <v>89</v>
      </c>
      <c r="G215" s="8">
        <f>VALUE(CONCATENATE("0",0.9))</f>
        <v>0.9</v>
      </c>
      <c r="H215" s="8">
        <f t="shared" si="35"/>
        <v>0</v>
      </c>
      <c r="I215" s="8">
        <f t="shared" si="39"/>
        <v>0</v>
      </c>
      <c r="J215" s="8">
        <f t="shared" si="36"/>
        <v>0</v>
      </c>
      <c r="K215" s="8">
        <f>VALUE(CONCATENATE("0",0.9))</f>
        <v>0.9</v>
      </c>
      <c r="L215" s="8">
        <f t="shared" si="38"/>
        <v>0</v>
      </c>
      <c r="M215" s="8">
        <f t="shared" si="40"/>
        <v>0</v>
      </c>
      <c r="N215" s="8">
        <f t="shared" si="40"/>
        <v>0</v>
      </c>
      <c r="O215" s="7">
        <f>VALUE(CONCATENATE("0",0.9))+VALUE(CONCATENATE("0","0.000000"))-VALUE(CONCATENATE("0",0))-VALUE(CONCATENATE("0",0))-VALUE(CONCATENATE("0",0))-VALUE(CONCATENATE("0",0.9))-VALUE(CONCATENATE("0",0))-VALUE(CONCATENATE("0","0.000000"))</f>
        <v>0</v>
      </c>
      <c r="P215" s="6">
        <v>1</v>
      </c>
    </row>
    <row r="216" spans="1:16" ht="24.95" customHeight="1">
      <c r="A216" s="5" t="s">
        <v>331</v>
      </c>
      <c r="B216" s="10">
        <v>214</v>
      </c>
      <c r="C216" s="13" t="s">
        <v>330</v>
      </c>
      <c r="D216" s="9" t="s">
        <v>329</v>
      </c>
      <c r="E216" s="9" t="s">
        <v>66</v>
      </c>
      <c r="F216" s="9" t="s">
        <v>83</v>
      </c>
      <c r="G216" s="8">
        <f>VALUE(CONCATENATE("0",0.88))</f>
        <v>0.88</v>
      </c>
      <c r="H216" s="8">
        <f t="shared" si="35"/>
        <v>0</v>
      </c>
      <c r="I216" s="8">
        <f t="shared" si="39"/>
        <v>0</v>
      </c>
      <c r="J216" s="8">
        <f t="shared" si="36"/>
        <v>0</v>
      </c>
      <c r="K216" s="8">
        <f>VALUE(CONCATENATE("0",0.88))</f>
        <v>0.88</v>
      </c>
      <c r="L216" s="8">
        <f t="shared" si="38"/>
        <v>0</v>
      </c>
      <c r="M216" s="8">
        <f t="shared" si="40"/>
        <v>0</v>
      </c>
      <c r="N216" s="8">
        <f t="shared" si="40"/>
        <v>0</v>
      </c>
      <c r="O216" s="7">
        <f>VALUE(CONCATENATE("0",0.88))+VALUE(CONCATENATE("0","0.000000"))-VALUE(CONCATENATE("0",0))-VALUE(CONCATENATE("0",0))-VALUE(CONCATENATE("0",0))-VALUE(CONCATENATE("0",0.88))-VALUE(CONCATENATE("0",0))-VALUE(CONCATENATE("0","0.000000"))</f>
        <v>0</v>
      </c>
      <c r="P216" s="6">
        <v>1</v>
      </c>
    </row>
    <row r="217" spans="1:16" ht="24.95" customHeight="1">
      <c r="A217" s="5" t="s">
        <v>328</v>
      </c>
      <c r="B217" s="10">
        <v>215</v>
      </c>
      <c r="C217" s="13" t="s">
        <v>327</v>
      </c>
      <c r="D217" s="9" t="s">
        <v>326</v>
      </c>
      <c r="E217" s="9" t="s">
        <v>73</v>
      </c>
      <c r="F217" s="9" t="s">
        <v>83</v>
      </c>
      <c r="G217" s="8">
        <f>VALUE(CONCATENATE("0",0.85))</f>
        <v>0.85</v>
      </c>
      <c r="H217" s="8">
        <f t="shared" si="35"/>
        <v>0</v>
      </c>
      <c r="I217" s="8">
        <f t="shared" si="39"/>
        <v>0</v>
      </c>
      <c r="J217" s="8">
        <f t="shared" si="36"/>
        <v>0</v>
      </c>
      <c r="K217" s="8">
        <f>VALUE(CONCATENATE("0",0.85))</f>
        <v>0.85</v>
      </c>
      <c r="L217" s="8">
        <f t="shared" si="38"/>
        <v>0</v>
      </c>
      <c r="M217" s="8">
        <f t="shared" si="40"/>
        <v>0</v>
      </c>
      <c r="N217" s="8">
        <f t="shared" si="40"/>
        <v>0</v>
      </c>
      <c r="O217" s="7">
        <f>VALUE(CONCATENATE("0",0.85))+VALUE(CONCATENATE("0","0.000000"))-VALUE(CONCATENATE("0",0))-VALUE(CONCATENATE("0",0))-VALUE(CONCATENATE("0",0))-VALUE(CONCATENATE("0",0.85))-VALUE(CONCATENATE("0",0))-VALUE(CONCATENATE("0","0.000000"))</f>
        <v>0</v>
      </c>
      <c r="P217" s="6">
        <v>1</v>
      </c>
    </row>
    <row r="218" spans="1:16" ht="24.95" customHeight="1">
      <c r="A218" s="5" t="s">
        <v>325</v>
      </c>
      <c r="B218" s="10">
        <v>216</v>
      </c>
      <c r="C218" s="13" t="s">
        <v>324</v>
      </c>
      <c r="D218" s="9" t="s">
        <v>323</v>
      </c>
      <c r="E218" s="9" t="s">
        <v>73</v>
      </c>
      <c r="F218" s="9" t="s">
        <v>83</v>
      </c>
      <c r="G218" s="8">
        <f>VALUE(CONCATENATE("0",0.8))</f>
        <v>0.8</v>
      </c>
      <c r="H218" s="8">
        <f t="shared" si="35"/>
        <v>0</v>
      </c>
      <c r="I218" s="8">
        <f t="shared" si="39"/>
        <v>0</v>
      </c>
      <c r="J218" s="8">
        <f t="shared" si="36"/>
        <v>0</v>
      </c>
      <c r="K218" s="8">
        <f>VALUE(CONCATENATE("0",0.8))</f>
        <v>0.8</v>
      </c>
      <c r="L218" s="8">
        <f t="shared" si="38"/>
        <v>0</v>
      </c>
      <c r="M218" s="8">
        <f t="shared" si="40"/>
        <v>0</v>
      </c>
      <c r="N218" s="8">
        <f t="shared" si="40"/>
        <v>0</v>
      </c>
      <c r="O218" s="7">
        <f>VALUE(CONCATENATE("0",0.8))+VALUE(CONCATENATE("0","0.000000"))-VALUE(CONCATENATE("0",0))-VALUE(CONCATENATE("0",0))-VALUE(CONCATENATE("0",0))-VALUE(CONCATENATE("0",0.8))-VALUE(CONCATENATE("0",0))-VALUE(CONCATENATE("0","0.000000"))</f>
        <v>0</v>
      </c>
      <c r="P218" s="6">
        <v>1</v>
      </c>
    </row>
    <row r="219" spans="1:16" ht="24.95" customHeight="1">
      <c r="A219" s="5" t="s">
        <v>322</v>
      </c>
      <c r="B219" s="10">
        <v>217</v>
      </c>
      <c r="C219" s="13" t="s">
        <v>321</v>
      </c>
      <c r="D219" s="9" t="s">
        <v>320</v>
      </c>
      <c r="E219" s="9" t="s">
        <v>73</v>
      </c>
      <c r="F219" s="9" t="s">
        <v>83</v>
      </c>
      <c r="G219" s="8">
        <f>VALUE(CONCATENATE("0",0.8))</f>
        <v>0.8</v>
      </c>
      <c r="H219" s="8">
        <f t="shared" si="35"/>
        <v>0</v>
      </c>
      <c r="I219" s="8">
        <f t="shared" si="39"/>
        <v>0</v>
      </c>
      <c r="J219" s="8">
        <f t="shared" si="36"/>
        <v>0</v>
      </c>
      <c r="K219" s="8">
        <f>VALUE(CONCATENATE("0",0.8))</f>
        <v>0.8</v>
      </c>
      <c r="L219" s="8">
        <f t="shared" si="38"/>
        <v>0</v>
      </c>
      <c r="M219" s="8">
        <f t="shared" si="40"/>
        <v>0</v>
      </c>
      <c r="N219" s="8">
        <f t="shared" si="40"/>
        <v>0</v>
      </c>
      <c r="O219" s="7">
        <f>VALUE(CONCATENATE("0",0.8))+VALUE(CONCATENATE("0","0.000000"))-VALUE(CONCATENATE("0",0))-VALUE(CONCATENATE("0",0))-VALUE(CONCATENATE("0",0))-VALUE(CONCATENATE("0",0.8))-VALUE(CONCATENATE("0",0))-VALUE(CONCATENATE("0","0.000000"))</f>
        <v>0</v>
      </c>
      <c r="P219" s="6">
        <v>1</v>
      </c>
    </row>
    <row r="220" spans="1:16" ht="29.1" customHeight="1">
      <c r="A220" s="5" t="s">
        <v>319</v>
      </c>
      <c r="B220" s="10">
        <v>218</v>
      </c>
      <c r="C220" s="13" t="s">
        <v>318</v>
      </c>
      <c r="D220" s="9" t="s">
        <v>317</v>
      </c>
      <c r="E220" s="9" t="s">
        <v>65</v>
      </c>
      <c r="F220" s="9" t="s">
        <v>80</v>
      </c>
      <c r="G220" s="8">
        <f>VALUE(CONCATENATE("0",0.75))</f>
        <v>0.75</v>
      </c>
      <c r="H220" s="8">
        <f t="shared" si="35"/>
        <v>0</v>
      </c>
      <c r="I220" s="8">
        <f t="shared" si="39"/>
        <v>0</v>
      </c>
      <c r="J220" s="8">
        <f t="shared" si="36"/>
        <v>0</v>
      </c>
      <c r="K220" s="8">
        <f>VALUE(CONCATENATE("0",0.75))</f>
        <v>0.75</v>
      </c>
      <c r="L220" s="8">
        <f t="shared" si="38"/>
        <v>0</v>
      </c>
      <c r="M220" s="8">
        <f t="shared" si="40"/>
        <v>0</v>
      </c>
      <c r="N220" s="8">
        <f t="shared" si="40"/>
        <v>0</v>
      </c>
      <c r="O220" s="7">
        <f>VALUE(CONCATENATE("0",0.75))+VALUE(CONCATENATE("0","0.000000"))-VALUE(CONCATENATE("0",0))-VALUE(CONCATENATE("0",0))-VALUE(CONCATENATE("0",0))-VALUE(CONCATENATE("0",0.75))-VALUE(CONCATENATE("0",0))-VALUE(CONCATENATE("0","0.000000"))</f>
        <v>0</v>
      </c>
      <c r="P220" s="6">
        <v>1</v>
      </c>
    </row>
    <row r="221" spans="1:16" ht="29.1" customHeight="1">
      <c r="A221" s="5" t="s">
        <v>316</v>
      </c>
      <c r="B221" s="10">
        <v>219</v>
      </c>
      <c r="C221" s="13" t="s">
        <v>315</v>
      </c>
      <c r="D221" s="9" t="s">
        <v>314</v>
      </c>
      <c r="E221" s="9" t="s">
        <v>65</v>
      </c>
      <c r="F221" s="9" t="s">
        <v>80</v>
      </c>
      <c r="G221" s="8">
        <f>VALUE(CONCATENATE("0",0.75))</f>
        <v>0.75</v>
      </c>
      <c r="H221" s="8">
        <f t="shared" si="35"/>
        <v>0</v>
      </c>
      <c r="I221" s="8">
        <f t="shared" si="39"/>
        <v>0</v>
      </c>
      <c r="J221" s="8">
        <f t="shared" si="36"/>
        <v>0</v>
      </c>
      <c r="K221" s="8">
        <f>VALUE(CONCATENATE("0",0.75))</f>
        <v>0.75</v>
      </c>
      <c r="L221" s="8">
        <f t="shared" si="38"/>
        <v>0</v>
      </c>
      <c r="M221" s="8">
        <f t="shared" si="40"/>
        <v>0</v>
      </c>
      <c r="N221" s="8">
        <f t="shared" si="40"/>
        <v>0</v>
      </c>
      <c r="O221" s="7">
        <f>VALUE(CONCATENATE("0",0.75))+VALUE(CONCATENATE("0","0.000000"))-VALUE(CONCATENATE("0",0))-VALUE(CONCATENATE("0",0))-VALUE(CONCATENATE("0",0))-VALUE(CONCATENATE("0",0.75))-VALUE(CONCATENATE("0",0))-VALUE(CONCATENATE("0","0.000000"))</f>
        <v>0</v>
      </c>
      <c r="P221" s="6">
        <v>1</v>
      </c>
    </row>
    <row r="222" spans="1:16" ht="29.1" customHeight="1">
      <c r="A222" s="5" t="s">
        <v>313</v>
      </c>
      <c r="B222" s="10">
        <v>220</v>
      </c>
      <c r="C222" s="13" t="s">
        <v>312</v>
      </c>
      <c r="D222" s="9" t="s">
        <v>311</v>
      </c>
      <c r="E222" s="9" t="s">
        <v>96</v>
      </c>
      <c r="F222" s="9" t="s">
        <v>89</v>
      </c>
      <c r="G222" s="8">
        <f>VALUE(CONCATENATE("0",0.68))</f>
        <v>0.68</v>
      </c>
      <c r="H222" s="8">
        <f t="shared" si="35"/>
        <v>0</v>
      </c>
      <c r="I222" s="8">
        <f t="shared" si="39"/>
        <v>0</v>
      </c>
      <c r="J222" s="8">
        <f t="shared" si="36"/>
        <v>0</v>
      </c>
      <c r="K222" s="8">
        <f>VALUE(CONCATENATE("0",0))</f>
        <v>0</v>
      </c>
      <c r="L222" s="8">
        <f>VALUE(CONCATENATE("0",0.68))</f>
        <v>0.68</v>
      </c>
      <c r="M222" s="8">
        <f t="shared" si="40"/>
        <v>0</v>
      </c>
      <c r="N222" s="8">
        <f t="shared" si="40"/>
        <v>0</v>
      </c>
      <c r="O222" s="7">
        <f>VALUE(CONCATENATE("0",0.68))+VALUE(CONCATENATE("0","0.000000"))-VALUE(CONCATENATE("0",0))-VALUE(CONCATENATE("0",0))-VALUE(CONCATENATE("0",0))-VALUE(CONCATENATE("0",0))-VALUE(CONCATENATE("0",0.68))-VALUE(CONCATENATE("0","0.000000"))</f>
        <v>0</v>
      </c>
      <c r="P222" s="6">
        <v>0</v>
      </c>
    </row>
    <row r="223" spans="1:16" ht="29.1" customHeight="1">
      <c r="A223" s="5" t="s">
        <v>310</v>
      </c>
      <c r="B223" s="10">
        <v>221</v>
      </c>
      <c r="C223" s="13" t="s">
        <v>309</v>
      </c>
      <c r="D223" s="9" t="s">
        <v>308</v>
      </c>
      <c r="E223" s="9" t="s">
        <v>96</v>
      </c>
      <c r="F223" s="9" t="s">
        <v>307</v>
      </c>
      <c r="G223" s="8">
        <f>VALUE(CONCATENATE("0",0.68))</f>
        <v>0.68</v>
      </c>
      <c r="H223" s="8">
        <f t="shared" si="35"/>
        <v>0</v>
      </c>
      <c r="I223" s="8">
        <f>VALUE(CONCATENATE("0",0.68))</f>
        <v>0.68</v>
      </c>
      <c r="J223" s="8">
        <f t="shared" si="36"/>
        <v>0</v>
      </c>
      <c r="K223" s="8">
        <f>VALUE(CONCATENATE("0",0))</f>
        <v>0</v>
      </c>
      <c r="L223" s="8">
        <f t="shared" ref="L223:L254" si="41">VALUE(CONCATENATE("0",0))</f>
        <v>0</v>
      </c>
      <c r="M223" s="8">
        <f t="shared" si="40"/>
        <v>0</v>
      </c>
      <c r="N223" s="8">
        <f t="shared" si="40"/>
        <v>0</v>
      </c>
      <c r="O223" s="7">
        <f>VALUE(CONCATENATE("0",0.68))+VALUE(CONCATENATE("0","0.000000"))-VALUE(CONCATENATE("0",0))-VALUE(CONCATENATE("0",0))-VALUE(CONCATENATE("0",0.68))-VALUE(CONCATENATE("0",0))-VALUE(CONCATENATE("0",0))-VALUE(CONCATENATE("0","0.000000"))</f>
        <v>0</v>
      </c>
      <c r="P223" s="6">
        <v>1</v>
      </c>
    </row>
    <row r="224" spans="1:16" ht="24.95" customHeight="1">
      <c r="A224" s="5" t="s">
        <v>306</v>
      </c>
      <c r="B224" s="10">
        <v>222</v>
      </c>
      <c r="C224" s="13" t="s">
        <v>305</v>
      </c>
      <c r="D224" s="9" t="s">
        <v>304</v>
      </c>
      <c r="E224" s="9" t="s">
        <v>73</v>
      </c>
      <c r="F224" s="9" t="s">
        <v>83</v>
      </c>
      <c r="G224" s="8">
        <f>VALUE(CONCATENATE("0",0.643))</f>
        <v>0.64300000000000002</v>
      </c>
      <c r="H224" s="8">
        <f t="shared" si="35"/>
        <v>0</v>
      </c>
      <c r="I224" s="8">
        <f t="shared" ref="I224:I231" si="42">VALUE(CONCATENATE("0",0))</f>
        <v>0</v>
      </c>
      <c r="J224" s="8">
        <f t="shared" si="36"/>
        <v>0</v>
      </c>
      <c r="K224" s="8">
        <f>VALUE(CONCATENATE("0",0.643))</f>
        <v>0.64300000000000002</v>
      </c>
      <c r="L224" s="8">
        <f t="shared" si="41"/>
        <v>0</v>
      </c>
      <c r="M224" s="8">
        <f t="shared" si="40"/>
        <v>0</v>
      </c>
      <c r="N224" s="8">
        <f t="shared" si="40"/>
        <v>0</v>
      </c>
      <c r="O224" s="7">
        <f>VALUE(CONCATENATE("0",0.643))+VALUE(CONCATENATE("0","0.000000"))-VALUE(CONCATENATE("0",0))-VALUE(CONCATENATE("0",0))-VALUE(CONCATENATE("0",0))-VALUE(CONCATENATE("0",0.643))-VALUE(CONCATENATE("0",0))-VALUE(CONCATENATE("0","0.000000"))</f>
        <v>0</v>
      </c>
      <c r="P224" s="6">
        <v>1</v>
      </c>
    </row>
    <row r="225" spans="1:16" ht="24.95" customHeight="1">
      <c r="A225" s="5" t="s">
        <v>303</v>
      </c>
      <c r="B225" s="10">
        <v>223</v>
      </c>
      <c r="C225" s="13" t="s">
        <v>302</v>
      </c>
      <c r="D225" s="9" t="s">
        <v>301</v>
      </c>
      <c r="E225" s="9" t="s">
        <v>67</v>
      </c>
      <c r="F225" s="9" t="s">
        <v>83</v>
      </c>
      <c r="G225" s="8">
        <f>VALUE(CONCATENATE("0",0.62))</f>
        <v>0.62</v>
      </c>
      <c r="H225" s="8">
        <f t="shared" si="35"/>
        <v>0</v>
      </c>
      <c r="I225" s="8">
        <f t="shared" si="42"/>
        <v>0</v>
      </c>
      <c r="J225" s="8">
        <f t="shared" si="36"/>
        <v>0</v>
      </c>
      <c r="K225" s="8">
        <f>VALUE(CONCATENATE("0",0))</f>
        <v>0</v>
      </c>
      <c r="L225" s="8">
        <f t="shared" si="41"/>
        <v>0</v>
      </c>
      <c r="M225" s="8">
        <f>VALUE(CONCATENATE("0","0.620000"))</f>
        <v>0.62</v>
      </c>
      <c r="N225" s="8">
        <f>VALUE(CONCATENATE("0","0.000000"))</f>
        <v>0</v>
      </c>
      <c r="O225" s="7">
        <f>VALUE(CONCATENATE("0",0.62))+VALUE(CONCATENATE("0","0.000000"))-VALUE(CONCATENATE("0",0))-VALUE(CONCATENATE("0",0))-VALUE(CONCATENATE("0",0))-VALUE(CONCATENATE("0",0))-VALUE(CONCATENATE("0",0))-VALUE(CONCATENATE("0","0.620000"))</f>
        <v>0</v>
      </c>
      <c r="P225" s="6">
        <v>0</v>
      </c>
    </row>
    <row r="226" spans="1:16" ht="24.95" customHeight="1">
      <c r="A226" s="5" t="s">
        <v>300</v>
      </c>
      <c r="B226" s="10">
        <v>224</v>
      </c>
      <c r="C226" s="13" t="s">
        <v>299</v>
      </c>
      <c r="D226" s="9" t="s">
        <v>298</v>
      </c>
      <c r="E226" s="9" t="s">
        <v>73</v>
      </c>
      <c r="F226" s="9" t="s">
        <v>83</v>
      </c>
      <c r="G226" s="8">
        <f>VALUE(CONCATENATE("0",0.616))</f>
        <v>0.61599999999999999</v>
      </c>
      <c r="H226" s="8">
        <f t="shared" si="35"/>
        <v>0</v>
      </c>
      <c r="I226" s="8">
        <f t="shared" si="42"/>
        <v>0</v>
      </c>
      <c r="J226" s="8">
        <f t="shared" si="36"/>
        <v>0</v>
      </c>
      <c r="K226" s="8">
        <f>VALUE(CONCATENATE("0",0.616))</f>
        <v>0.61599999999999999</v>
      </c>
      <c r="L226" s="8">
        <f t="shared" si="41"/>
        <v>0</v>
      </c>
      <c r="M226" s="8">
        <f>VALUE(CONCATENATE("0","0.000000"))</f>
        <v>0</v>
      </c>
      <c r="N226" s="8">
        <f>VALUE(CONCATENATE("0","0.000000"))</f>
        <v>0</v>
      </c>
      <c r="O226" s="7">
        <f>VALUE(CONCATENATE("0",0.616))+VALUE(CONCATENATE("0","0.000000"))-VALUE(CONCATENATE("0",0))-VALUE(CONCATENATE("0",0))-VALUE(CONCATENATE("0",0))-VALUE(CONCATENATE("0",0.616))-VALUE(CONCATENATE("0",0))-VALUE(CONCATENATE("0","0.000000"))</f>
        <v>0</v>
      </c>
      <c r="P226" s="6">
        <v>1</v>
      </c>
    </row>
    <row r="227" spans="1:16" ht="24.95" customHeight="1">
      <c r="A227" s="5" t="s">
        <v>297</v>
      </c>
      <c r="B227" s="10">
        <v>225</v>
      </c>
      <c r="C227" s="13" t="s">
        <v>296</v>
      </c>
      <c r="D227" s="9" t="s">
        <v>295</v>
      </c>
      <c r="E227" s="9" t="s">
        <v>96</v>
      </c>
      <c r="F227" s="9" t="s">
        <v>83</v>
      </c>
      <c r="G227" s="8">
        <f>VALUE(CONCATENATE("0",0.604))</f>
        <v>0.60399999999999998</v>
      </c>
      <c r="H227" s="8">
        <f t="shared" si="35"/>
        <v>0</v>
      </c>
      <c r="I227" s="8">
        <f t="shared" si="42"/>
        <v>0</v>
      </c>
      <c r="J227" s="8">
        <f t="shared" si="36"/>
        <v>0</v>
      </c>
      <c r="K227" s="8">
        <f>VALUE(CONCATENATE("0",0.604))</f>
        <v>0.60399999999999998</v>
      </c>
      <c r="L227" s="8">
        <f t="shared" si="41"/>
        <v>0</v>
      </c>
      <c r="M227" s="8">
        <f>VALUE(CONCATENATE("0","0.000000"))</f>
        <v>0</v>
      </c>
      <c r="N227" s="8">
        <f>VALUE(CONCATENATE("0","0.000000"))</f>
        <v>0</v>
      </c>
      <c r="O227" s="7">
        <f>VALUE(CONCATENATE("0",0.604))+VALUE(CONCATENATE("0","0.000000"))-VALUE(CONCATENATE("0",0))-VALUE(CONCATENATE("0",0))-VALUE(CONCATENATE("0",0))-VALUE(CONCATENATE("0",0.604))-VALUE(CONCATENATE("0",0))-VALUE(CONCATENATE("0","0.000000"))</f>
        <v>0</v>
      </c>
      <c r="P227" s="6">
        <v>1</v>
      </c>
    </row>
    <row r="228" spans="1:16" ht="24.95" customHeight="1">
      <c r="A228" s="5" t="s">
        <v>294</v>
      </c>
      <c r="B228" s="10">
        <v>226</v>
      </c>
      <c r="C228" s="13" t="s">
        <v>293</v>
      </c>
      <c r="D228" s="9" t="s">
        <v>292</v>
      </c>
      <c r="E228" s="9" t="s">
        <v>66</v>
      </c>
      <c r="F228" s="9" t="s">
        <v>83</v>
      </c>
      <c r="G228" s="8">
        <f>VALUE(CONCATENATE("0",0.6))</f>
        <v>0.6</v>
      </c>
      <c r="H228" s="8">
        <f t="shared" si="35"/>
        <v>0</v>
      </c>
      <c r="I228" s="8">
        <f t="shared" si="42"/>
        <v>0</v>
      </c>
      <c r="J228" s="8">
        <f t="shared" si="36"/>
        <v>0</v>
      </c>
      <c r="K228" s="8">
        <f>VALUE(CONCATENATE("0",2.73))</f>
        <v>2.73</v>
      </c>
      <c r="L228" s="8">
        <f t="shared" si="41"/>
        <v>0</v>
      </c>
      <c r="M228" s="8">
        <f>VALUE(CONCATENATE("0","0.480000"))</f>
        <v>0.48</v>
      </c>
      <c r="N228" s="8">
        <f>VALUE(CONCATENATE("0","2.610000"))</f>
        <v>2.61</v>
      </c>
      <c r="O228" s="7">
        <f>VALUE(CONCATENATE("0",0.6))+VALUE(CONCATENATE("0","2.610000"))-VALUE(CONCATENATE("0",0))-VALUE(CONCATENATE("0",0))-VALUE(CONCATENATE("0",0))-VALUE(CONCATENATE("0",2.73))-VALUE(CONCATENATE("0",0))-VALUE(CONCATENATE("0","0.480000"))</f>
        <v>0</v>
      </c>
      <c r="P228" s="6">
        <v>0.85046728971962615</v>
      </c>
    </row>
    <row r="229" spans="1:16" ht="29.1" customHeight="1">
      <c r="A229" s="5" t="s">
        <v>291</v>
      </c>
      <c r="B229" s="10">
        <v>227</v>
      </c>
      <c r="C229" s="13" t="s">
        <v>290</v>
      </c>
      <c r="D229" s="9" t="s">
        <v>289</v>
      </c>
      <c r="E229" s="9" t="s">
        <v>67</v>
      </c>
      <c r="F229" s="9" t="s">
        <v>80</v>
      </c>
      <c r="G229" s="8">
        <f>VALUE(CONCATENATE("0",0.6))</f>
        <v>0.6</v>
      </c>
      <c r="H229" s="8">
        <f t="shared" si="35"/>
        <v>0</v>
      </c>
      <c r="I229" s="8">
        <f t="shared" si="42"/>
        <v>0</v>
      </c>
      <c r="J229" s="8">
        <f t="shared" si="36"/>
        <v>0</v>
      </c>
      <c r="K229" s="8">
        <f>VALUE(CONCATENATE("0",0.6))</f>
        <v>0.6</v>
      </c>
      <c r="L229" s="8">
        <f t="shared" si="41"/>
        <v>0</v>
      </c>
      <c r="M229" s="8">
        <f>VALUE(CONCATENATE("0","0.000000"))</f>
        <v>0</v>
      </c>
      <c r="N229" s="8">
        <f>VALUE(CONCATENATE("0","0.000000"))</f>
        <v>0</v>
      </c>
      <c r="O229" s="7">
        <f>VALUE(CONCATENATE("0",0.6))+VALUE(CONCATENATE("0","0.000000"))-VALUE(CONCATENATE("0",0))-VALUE(CONCATENATE("0",0))-VALUE(CONCATENATE("0",0))-VALUE(CONCATENATE("0",0.6))-VALUE(CONCATENATE("0",0))-VALUE(CONCATENATE("0","0.000000"))</f>
        <v>0</v>
      </c>
      <c r="P229" s="6">
        <v>1</v>
      </c>
    </row>
    <row r="230" spans="1:16" ht="29.1" customHeight="1">
      <c r="A230" s="5" t="s">
        <v>288</v>
      </c>
      <c r="B230" s="10">
        <v>228</v>
      </c>
      <c r="C230" s="13" t="s">
        <v>287</v>
      </c>
      <c r="D230" s="9" t="s">
        <v>286</v>
      </c>
      <c r="E230" s="9" t="s">
        <v>112</v>
      </c>
      <c r="F230" s="9" t="s">
        <v>83</v>
      </c>
      <c r="G230" s="8">
        <f>VALUE(CONCATENATE("0",0.5601))</f>
        <v>0.56010000000000004</v>
      </c>
      <c r="H230" s="8">
        <f t="shared" si="35"/>
        <v>0</v>
      </c>
      <c r="I230" s="8">
        <f t="shared" si="42"/>
        <v>0</v>
      </c>
      <c r="J230" s="8">
        <f t="shared" si="36"/>
        <v>0</v>
      </c>
      <c r="K230" s="8">
        <f>VALUE(CONCATENATE("0",0))</f>
        <v>0</v>
      </c>
      <c r="L230" s="8">
        <f t="shared" si="41"/>
        <v>0</v>
      </c>
      <c r="M230" s="8">
        <f>VALUE(CONCATENATE("0","0.560100"))</f>
        <v>0.56010000000000004</v>
      </c>
      <c r="N230" s="8">
        <f>VALUE(CONCATENATE("0","0.000000"))</f>
        <v>0</v>
      </c>
      <c r="O230" s="7">
        <f>VALUE(CONCATENATE("0",0.5601))+VALUE(CONCATENATE("0","0.000000"))-VALUE(CONCATENATE("0",0))-VALUE(CONCATENATE("0",0))-VALUE(CONCATENATE("0",0))-VALUE(CONCATENATE("0",0))-VALUE(CONCATENATE("0",0))-VALUE(CONCATENATE("0","0.560100"))</f>
        <v>0</v>
      </c>
      <c r="P230" s="6">
        <v>0</v>
      </c>
    </row>
    <row r="231" spans="1:16" ht="29.1" customHeight="1">
      <c r="A231" s="5" t="s">
        <v>285</v>
      </c>
      <c r="B231" s="10">
        <v>229</v>
      </c>
      <c r="C231" s="13" t="s">
        <v>284</v>
      </c>
      <c r="D231" s="9" t="s">
        <v>283</v>
      </c>
      <c r="E231" s="9" t="s">
        <v>67</v>
      </c>
      <c r="F231" s="9" t="s">
        <v>282</v>
      </c>
      <c r="G231" s="8">
        <f>VALUE(CONCATENATE("0",0.55))</f>
        <v>0.55000000000000004</v>
      </c>
      <c r="H231" s="8">
        <f t="shared" si="35"/>
        <v>0</v>
      </c>
      <c r="I231" s="8">
        <f t="shared" si="42"/>
        <v>0</v>
      </c>
      <c r="J231" s="8">
        <f t="shared" si="36"/>
        <v>0</v>
      </c>
      <c r="K231" s="8">
        <f>VALUE(CONCATENATE("0",0.55))</f>
        <v>0.55000000000000004</v>
      </c>
      <c r="L231" s="8">
        <f t="shared" si="41"/>
        <v>0</v>
      </c>
      <c r="M231" s="8">
        <f>VALUE(CONCATENATE("0","0.000000"))</f>
        <v>0</v>
      </c>
      <c r="N231" s="8">
        <f>VALUE(CONCATENATE("0","0.000000"))</f>
        <v>0</v>
      </c>
      <c r="O231" s="7">
        <f>VALUE(CONCATENATE("0",0.55))+VALUE(CONCATENATE("0","0.000000"))-VALUE(CONCATENATE("0",0))-VALUE(CONCATENATE("0",0))-VALUE(CONCATENATE("0",0))-VALUE(CONCATENATE("0",0.55))-VALUE(CONCATENATE("0",0))-VALUE(CONCATENATE("0","0.000000"))</f>
        <v>0</v>
      </c>
      <c r="P231" s="6">
        <v>1</v>
      </c>
    </row>
    <row r="232" spans="1:16" ht="29.1" customHeight="1">
      <c r="A232" s="5" t="s">
        <v>281</v>
      </c>
      <c r="B232" s="10">
        <v>230</v>
      </c>
      <c r="C232" s="13" t="s">
        <v>280</v>
      </c>
      <c r="D232" s="9" t="s">
        <v>279</v>
      </c>
      <c r="E232" s="9" t="s">
        <v>73</v>
      </c>
      <c r="F232" s="9" t="s">
        <v>89</v>
      </c>
      <c r="G232" s="8">
        <f>VALUE(CONCATENATE("0",0.51))</f>
        <v>0.51</v>
      </c>
      <c r="H232" s="8">
        <f t="shared" ref="H232:H263" si="43">VALUE(CONCATENATE("0",0))</f>
        <v>0</v>
      </c>
      <c r="I232" s="8">
        <f>VALUE(CONCATENATE("0",0.51))</f>
        <v>0.51</v>
      </c>
      <c r="J232" s="8">
        <f t="shared" si="36"/>
        <v>0</v>
      </c>
      <c r="K232" s="8">
        <f>VALUE(CONCATENATE("0",0))</f>
        <v>0</v>
      </c>
      <c r="L232" s="8">
        <f t="shared" si="41"/>
        <v>0</v>
      </c>
      <c r="M232" s="8">
        <f>VALUE(CONCATENATE("0","0.000000"))</f>
        <v>0</v>
      </c>
      <c r="N232" s="8">
        <f>VALUE(CONCATENATE("0","0.000000"))</f>
        <v>0</v>
      </c>
      <c r="O232" s="7">
        <f>VALUE(CONCATENATE("0",0.51))+VALUE(CONCATENATE("0","0.000000"))-VALUE(CONCATENATE("0",0))-VALUE(CONCATENATE("0",0))-VALUE(CONCATENATE("0",0.51))-VALUE(CONCATENATE("0",0))-VALUE(CONCATENATE("0",0))-VALUE(CONCATENATE("0","0.000000"))</f>
        <v>0</v>
      </c>
      <c r="P232" s="6">
        <v>1</v>
      </c>
    </row>
    <row r="233" spans="1:16" ht="29.1" customHeight="1">
      <c r="A233" s="5" t="s">
        <v>278</v>
      </c>
      <c r="B233" s="10">
        <v>231</v>
      </c>
      <c r="C233" s="13" t="s">
        <v>277</v>
      </c>
      <c r="D233" s="9" t="s">
        <v>276</v>
      </c>
      <c r="E233" s="9" t="s">
        <v>96</v>
      </c>
      <c r="F233" s="9" t="s">
        <v>89</v>
      </c>
      <c r="G233" s="8">
        <f>VALUE(CONCATENATE("0",0.51))</f>
        <v>0.51</v>
      </c>
      <c r="H233" s="8">
        <f t="shared" si="43"/>
        <v>0</v>
      </c>
      <c r="I233" s="8">
        <f>VALUE(CONCATENATE("0",0.51))</f>
        <v>0.51</v>
      </c>
      <c r="J233" s="8">
        <f t="shared" si="36"/>
        <v>0</v>
      </c>
      <c r="K233" s="8">
        <f>VALUE(CONCATENATE("0",0))</f>
        <v>0</v>
      </c>
      <c r="L233" s="8">
        <f t="shared" si="41"/>
        <v>0</v>
      </c>
      <c r="M233" s="8">
        <f>VALUE(CONCATENATE("0","0.000000"))</f>
        <v>0</v>
      </c>
      <c r="N233" s="8">
        <f>VALUE(CONCATENATE("0","0.000000"))</f>
        <v>0</v>
      </c>
      <c r="O233" s="7">
        <f>VALUE(CONCATENATE("0",0.51))+VALUE(CONCATENATE("0","0.000000"))-VALUE(CONCATENATE("0",0))-VALUE(CONCATENATE("0",0))-VALUE(CONCATENATE("0",0.51))-VALUE(CONCATENATE("0",0))-VALUE(CONCATENATE("0",0))-VALUE(CONCATENATE("0","0.000000"))</f>
        <v>0</v>
      </c>
      <c r="P233" s="6">
        <v>1</v>
      </c>
    </row>
    <row r="234" spans="1:16" ht="24.95" customHeight="1">
      <c r="A234" s="5" t="s">
        <v>275</v>
      </c>
      <c r="B234" s="10">
        <v>232</v>
      </c>
      <c r="C234" s="13" t="s">
        <v>274</v>
      </c>
      <c r="D234" s="9" t="s">
        <v>273</v>
      </c>
      <c r="E234" s="9" t="s">
        <v>73</v>
      </c>
      <c r="F234" s="9" t="s">
        <v>83</v>
      </c>
      <c r="G234" s="8">
        <f t="shared" ref="G234:G239" si="44">VALUE(CONCATENATE("0",0.5))</f>
        <v>0.5</v>
      </c>
      <c r="H234" s="8">
        <f t="shared" si="43"/>
        <v>0</v>
      </c>
      <c r="I234" s="8">
        <f>VALUE(CONCATENATE("0",0))</f>
        <v>0</v>
      </c>
      <c r="J234" s="8">
        <f t="shared" si="36"/>
        <v>0</v>
      </c>
      <c r="K234" s="8">
        <f>VALUE(CONCATENATE("0",0.5))</f>
        <v>0.5</v>
      </c>
      <c r="L234" s="8">
        <f t="shared" si="41"/>
        <v>0</v>
      </c>
      <c r="M234" s="8">
        <f>VALUE(CONCATENATE("0","0.300000"))</f>
        <v>0.3</v>
      </c>
      <c r="N234" s="8">
        <f>VALUE(CONCATENATE("0","0.300000"))</f>
        <v>0.3</v>
      </c>
      <c r="O234" s="7">
        <f>VALUE(CONCATENATE("0",0.5))+VALUE(CONCATENATE("0","0.300000"))-VALUE(CONCATENATE("0",0))-VALUE(CONCATENATE("0",0))-VALUE(CONCATENATE("0",0))-VALUE(CONCATENATE("0",0.5))-VALUE(CONCATENATE("0",0))-VALUE(CONCATENATE("0","0.300000"))</f>
        <v>0</v>
      </c>
      <c r="P234" s="6">
        <v>0.625</v>
      </c>
    </row>
    <row r="235" spans="1:16" ht="42.95" customHeight="1">
      <c r="A235" s="5" t="s">
        <v>272</v>
      </c>
      <c r="B235" s="10">
        <v>233</v>
      </c>
      <c r="C235" s="13" t="s">
        <v>271</v>
      </c>
      <c r="D235" s="9" t="s">
        <v>270</v>
      </c>
      <c r="E235" s="9" t="s">
        <v>66</v>
      </c>
      <c r="F235" s="9" t="s">
        <v>89</v>
      </c>
      <c r="G235" s="8">
        <f t="shared" si="44"/>
        <v>0.5</v>
      </c>
      <c r="H235" s="8">
        <f t="shared" si="43"/>
        <v>0</v>
      </c>
      <c r="I235" s="8">
        <f>VALUE(CONCATENATE("0",0))</f>
        <v>0</v>
      </c>
      <c r="J235" s="8">
        <f t="shared" si="36"/>
        <v>0</v>
      </c>
      <c r="K235" s="8">
        <f>VALUE(CONCATENATE("0",0.5))</f>
        <v>0.5</v>
      </c>
      <c r="L235" s="8">
        <f t="shared" si="41"/>
        <v>0</v>
      </c>
      <c r="M235" s="8">
        <f t="shared" ref="M235:N241" si="45">VALUE(CONCATENATE("0","0.000000"))</f>
        <v>0</v>
      </c>
      <c r="N235" s="8">
        <f t="shared" si="45"/>
        <v>0</v>
      </c>
      <c r="O235" s="7">
        <f>VALUE(CONCATENATE("0",0.5))+VALUE(CONCATENATE("0","0.000000"))-VALUE(CONCATENATE("0",0))-VALUE(CONCATENATE("0",0))-VALUE(CONCATENATE("0",0))-VALUE(CONCATENATE("0",0.5))-VALUE(CONCATENATE("0",0))-VALUE(CONCATENATE("0","0.000000"))</f>
        <v>0</v>
      </c>
      <c r="P235" s="6">
        <v>1</v>
      </c>
    </row>
    <row r="236" spans="1:16" ht="29.1" customHeight="1">
      <c r="A236" s="5" t="s">
        <v>269</v>
      </c>
      <c r="B236" s="10">
        <v>234</v>
      </c>
      <c r="C236" s="13" t="s">
        <v>268</v>
      </c>
      <c r="D236" s="9" t="s">
        <v>267</v>
      </c>
      <c r="E236" s="9" t="s">
        <v>66</v>
      </c>
      <c r="F236" s="9" t="s">
        <v>89</v>
      </c>
      <c r="G236" s="8">
        <f t="shared" si="44"/>
        <v>0.5</v>
      </c>
      <c r="H236" s="8">
        <f t="shared" si="43"/>
        <v>0</v>
      </c>
      <c r="I236" s="8">
        <f>VALUE(CONCATENATE("0",0))</f>
        <v>0</v>
      </c>
      <c r="J236" s="8">
        <f t="shared" si="36"/>
        <v>0</v>
      </c>
      <c r="K236" s="8">
        <f>VALUE(CONCATENATE("0",0.5))</f>
        <v>0.5</v>
      </c>
      <c r="L236" s="8">
        <f t="shared" si="41"/>
        <v>0</v>
      </c>
      <c r="M236" s="8">
        <f t="shared" si="45"/>
        <v>0</v>
      </c>
      <c r="N236" s="8">
        <f t="shared" si="45"/>
        <v>0</v>
      </c>
      <c r="O236" s="7">
        <f>VALUE(CONCATENATE("0",0.5))+VALUE(CONCATENATE("0","0.000000"))-VALUE(CONCATENATE("0",0))-VALUE(CONCATENATE("0",0))-VALUE(CONCATENATE("0",0))-VALUE(CONCATENATE("0",0.5))-VALUE(CONCATENATE("0",0))-VALUE(CONCATENATE("0","0.000000"))</f>
        <v>0</v>
      </c>
      <c r="P236" s="6">
        <v>1</v>
      </c>
    </row>
    <row r="237" spans="1:16" ht="24.95" customHeight="1">
      <c r="A237" s="5" t="s">
        <v>266</v>
      </c>
      <c r="B237" s="10">
        <v>235</v>
      </c>
      <c r="C237" s="13" t="s">
        <v>265</v>
      </c>
      <c r="D237" s="9" t="s">
        <v>264</v>
      </c>
      <c r="E237" s="9" t="s">
        <v>68</v>
      </c>
      <c r="F237" s="9" t="s">
        <v>83</v>
      </c>
      <c r="G237" s="8">
        <f t="shared" si="44"/>
        <v>0.5</v>
      </c>
      <c r="H237" s="8">
        <f t="shared" si="43"/>
        <v>0</v>
      </c>
      <c r="I237" s="8">
        <f>VALUE(CONCATENATE("0",0.5))</f>
        <v>0.5</v>
      </c>
      <c r="J237" s="8">
        <f t="shared" si="36"/>
        <v>0</v>
      </c>
      <c r="K237" s="8">
        <f>VALUE(CONCATENATE("0",0))</f>
        <v>0</v>
      </c>
      <c r="L237" s="8">
        <f t="shared" si="41"/>
        <v>0</v>
      </c>
      <c r="M237" s="8">
        <f t="shared" si="45"/>
        <v>0</v>
      </c>
      <c r="N237" s="8">
        <f t="shared" si="45"/>
        <v>0</v>
      </c>
      <c r="O237" s="7">
        <f>VALUE(CONCATENATE("0",0.5))+VALUE(CONCATENATE("0","0.000000"))-VALUE(CONCATENATE("0",0))-VALUE(CONCATENATE("0",0))-VALUE(CONCATENATE("0",0.5))-VALUE(CONCATENATE("0",0))-VALUE(CONCATENATE("0",0))-VALUE(CONCATENATE("0","0.000000"))</f>
        <v>0</v>
      </c>
      <c r="P237" s="6">
        <v>1</v>
      </c>
    </row>
    <row r="238" spans="1:16" ht="29.1" customHeight="1">
      <c r="A238" s="5" t="s">
        <v>263</v>
      </c>
      <c r="B238" s="10">
        <v>236</v>
      </c>
      <c r="C238" s="13" t="s">
        <v>262</v>
      </c>
      <c r="D238" s="9" t="s">
        <v>261</v>
      </c>
      <c r="E238" s="9" t="s">
        <v>67</v>
      </c>
      <c r="F238" s="9" t="s">
        <v>83</v>
      </c>
      <c r="G238" s="8">
        <f t="shared" si="44"/>
        <v>0.5</v>
      </c>
      <c r="H238" s="8">
        <f t="shared" si="43"/>
        <v>0</v>
      </c>
      <c r="I238" s="8">
        <f>VALUE(CONCATENATE("0",0))</f>
        <v>0</v>
      </c>
      <c r="J238" s="8">
        <f t="shared" si="36"/>
        <v>0</v>
      </c>
      <c r="K238" s="8">
        <f>VALUE(CONCATENATE("0",0.5))</f>
        <v>0.5</v>
      </c>
      <c r="L238" s="8">
        <f t="shared" si="41"/>
        <v>0</v>
      </c>
      <c r="M238" s="8">
        <f t="shared" si="45"/>
        <v>0</v>
      </c>
      <c r="N238" s="8">
        <f t="shared" si="45"/>
        <v>0</v>
      </c>
      <c r="O238" s="7">
        <f>VALUE(CONCATENATE("0",0.5))+VALUE(CONCATENATE("0","0.000000"))-VALUE(CONCATENATE("0",0))-VALUE(CONCATENATE("0",0))-VALUE(CONCATENATE("0",0))-VALUE(CONCATENATE("0",0.5))-VALUE(CONCATENATE("0",0))-VALUE(CONCATENATE("0","0.000000"))</f>
        <v>0</v>
      </c>
      <c r="P238" s="6">
        <v>1</v>
      </c>
    </row>
    <row r="239" spans="1:16" ht="24.95" customHeight="1">
      <c r="A239" s="5" t="s">
        <v>260</v>
      </c>
      <c r="B239" s="10">
        <v>237</v>
      </c>
      <c r="C239" s="13" t="s">
        <v>259</v>
      </c>
      <c r="D239" s="9" t="s">
        <v>258</v>
      </c>
      <c r="E239" s="9" t="s">
        <v>67</v>
      </c>
      <c r="F239" s="9" t="s">
        <v>83</v>
      </c>
      <c r="G239" s="8">
        <f t="shared" si="44"/>
        <v>0.5</v>
      </c>
      <c r="H239" s="8">
        <f t="shared" si="43"/>
        <v>0</v>
      </c>
      <c r="I239" s="8">
        <f>VALUE(CONCATENATE("0",0))</f>
        <v>0</v>
      </c>
      <c r="J239" s="8">
        <f t="shared" si="36"/>
        <v>0</v>
      </c>
      <c r="K239" s="8">
        <f>VALUE(CONCATENATE("0",0.5))</f>
        <v>0.5</v>
      </c>
      <c r="L239" s="8">
        <f t="shared" si="41"/>
        <v>0</v>
      </c>
      <c r="M239" s="8">
        <f t="shared" si="45"/>
        <v>0</v>
      </c>
      <c r="N239" s="8">
        <f t="shared" si="45"/>
        <v>0</v>
      </c>
      <c r="O239" s="7">
        <f>VALUE(CONCATENATE("0",0.5))+VALUE(CONCATENATE("0","0.000000"))-VALUE(CONCATENATE("0",0))-VALUE(CONCATENATE("0",0))-VALUE(CONCATENATE("0",0))-VALUE(CONCATENATE("0",0.5))-VALUE(CONCATENATE("0",0))-VALUE(CONCATENATE("0","0.000000"))</f>
        <v>0</v>
      </c>
      <c r="P239" s="6">
        <v>1</v>
      </c>
    </row>
    <row r="240" spans="1:16" ht="24.95" customHeight="1">
      <c r="A240" s="5" t="s">
        <v>257</v>
      </c>
      <c r="B240" s="10">
        <v>238</v>
      </c>
      <c r="C240" s="13" t="s">
        <v>256</v>
      </c>
      <c r="D240" s="9" t="s">
        <v>255</v>
      </c>
      <c r="E240" s="9" t="s">
        <v>96</v>
      </c>
      <c r="F240" s="9" t="s">
        <v>83</v>
      </c>
      <c r="G240" s="8">
        <f>VALUE(CONCATENATE("0",0.46))</f>
        <v>0.46</v>
      </c>
      <c r="H240" s="8">
        <f t="shared" si="43"/>
        <v>0</v>
      </c>
      <c r="I240" s="8">
        <f>VALUE(CONCATENATE("0",0))</f>
        <v>0</v>
      </c>
      <c r="J240" s="8">
        <f t="shared" si="36"/>
        <v>0</v>
      </c>
      <c r="K240" s="8">
        <f>VALUE(CONCATENATE("0",0.46))</f>
        <v>0.46</v>
      </c>
      <c r="L240" s="8">
        <f t="shared" si="41"/>
        <v>0</v>
      </c>
      <c r="M240" s="8">
        <f t="shared" si="45"/>
        <v>0</v>
      </c>
      <c r="N240" s="8">
        <f t="shared" si="45"/>
        <v>0</v>
      </c>
      <c r="O240" s="7">
        <f>VALUE(CONCATENATE("0",0.46))+VALUE(CONCATENATE("0","0.000000"))-VALUE(CONCATENATE("0",0))-VALUE(CONCATENATE("0",0))-VALUE(CONCATENATE("0",0))-VALUE(CONCATENATE("0",0.46))-VALUE(CONCATENATE("0",0))-VALUE(CONCATENATE("0","0.000000"))</f>
        <v>0</v>
      </c>
      <c r="P240" s="6">
        <v>1</v>
      </c>
    </row>
    <row r="241" spans="1:16" ht="24.95" customHeight="1">
      <c r="A241" s="5" t="s">
        <v>254</v>
      </c>
      <c r="B241" s="10">
        <v>239</v>
      </c>
      <c r="C241" s="13" t="s">
        <v>253</v>
      </c>
      <c r="D241" s="9" t="s">
        <v>252</v>
      </c>
      <c r="E241" s="9" t="s">
        <v>96</v>
      </c>
      <c r="F241" s="9" t="s">
        <v>83</v>
      </c>
      <c r="G241" s="8">
        <f>VALUE(CONCATENATE("0",0.45))</f>
        <v>0.45</v>
      </c>
      <c r="H241" s="8">
        <f t="shared" si="43"/>
        <v>0</v>
      </c>
      <c r="I241" s="8">
        <f>VALUE(CONCATENATE("0",0))</f>
        <v>0</v>
      </c>
      <c r="J241" s="8">
        <f t="shared" si="36"/>
        <v>0</v>
      </c>
      <c r="K241" s="8">
        <f>VALUE(CONCATENATE("0",0.45))</f>
        <v>0.45</v>
      </c>
      <c r="L241" s="8">
        <f t="shared" si="41"/>
        <v>0</v>
      </c>
      <c r="M241" s="8">
        <f t="shared" si="45"/>
        <v>0</v>
      </c>
      <c r="N241" s="8">
        <f t="shared" si="45"/>
        <v>0</v>
      </c>
      <c r="O241" s="7">
        <f>VALUE(CONCATENATE("0",0.45))+VALUE(CONCATENATE("0","0.000000"))-VALUE(CONCATENATE("0",0))-VALUE(CONCATENATE("0",0))-VALUE(CONCATENATE("0",0))-VALUE(CONCATENATE("0",0.45))-VALUE(CONCATENATE("0",0))-VALUE(CONCATENATE("0","0.000000"))</f>
        <v>0</v>
      </c>
      <c r="P241" s="6">
        <v>1</v>
      </c>
    </row>
    <row r="242" spans="1:16" ht="29.1" customHeight="1">
      <c r="A242" s="5" t="s">
        <v>251</v>
      </c>
      <c r="B242" s="10">
        <v>240</v>
      </c>
      <c r="C242" s="13" t="s">
        <v>250</v>
      </c>
      <c r="D242" s="9" t="s">
        <v>249</v>
      </c>
      <c r="E242" s="9" t="s">
        <v>108</v>
      </c>
      <c r="F242" s="9" t="s">
        <v>80</v>
      </c>
      <c r="G242" s="8">
        <f>VALUE(CONCATENATE("0",0.45))</f>
        <v>0.45</v>
      </c>
      <c r="H242" s="8">
        <f t="shared" si="43"/>
        <v>0</v>
      </c>
      <c r="I242" s="8">
        <f>VALUE(CONCATENATE("0",0))</f>
        <v>0</v>
      </c>
      <c r="J242" s="8">
        <f t="shared" si="36"/>
        <v>0</v>
      </c>
      <c r="K242" s="8">
        <f>VALUE(CONCATENATE("0",0.32))</f>
        <v>0.32</v>
      </c>
      <c r="L242" s="8">
        <f t="shared" si="41"/>
        <v>0</v>
      </c>
      <c r="M242" s="8">
        <f>VALUE(CONCATENATE("0","0.130000"))</f>
        <v>0.13</v>
      </c>
      <c r="N242" s="8">
        <f t="shared" ref="N242:N257" si="46">VALUE(CONCATENATE("0","0.000000"))</f>
        <v>0</v>
      </c>
      <c r="O242" s="7">
        <f>VALUE(CONCATENATE("0",0.45))+VALUE(CONCATENATE("0","0.000000"))-VALUE(CONCATENATE("0",0))-VALUE(CONCATENATE("0",0))-VALUE(CONCATENATE("0",0))-VALUE(CONCATENATE("0",0.32))-VALUE(CONCATENATE("0",0))-VALUE(CONCATENATE("0","0.130000"))</f>
        <v>0</v>
      </c>
      <c r="P242" s="6">
        <v>0.71111111111111114</v>
      </c>
    </row>
    <row r="243" spans="1:16" ht="24.95" customHeight="1">
      <c r="A243" s="5" t="s">
        <v>248</v>
      </c>
      <c r="B243" s="10">
        <v>241</v>
      </c>
      <c r="C243" s="13" t="s">
        <v>247</v>
      </c>
      <c r="D243" s="9" t="s">
        <v>246</v>
      </c>
      <c r="E243" s="9" t="s">
        <v>65</v>
      </c>
      <c r="F243" s="9" t="s">
        <v>83</v>
      </c>
      <c r="G243" s="8">
        <f>VALUE(CONCATENATE("0",0.4))</f>
        <v>0.4</v>
      </c>
      <c r="H243" s="8">
        <f t="shared" si="43"/>
        <v>0</v>
      </c>
      <c r="I243" s="8">
        <f>VALUE(CONCATENATE("0",0.4))</f>
        <v>0.4</v>
      </c>
      <c r="J243" s="8">
        <f t="shared" si="36"/>
        <v>0</v>
      </c>
      <c r="K243" s="8">
        <f>VALUE(CONCATENATE("0",0))</f>
        <v>0</v>
      </c>
      <c r="L243" s="8">
        <f t="shared" si="41"/>
        <v>0</v>
      </c>
      <c r="M243" s="8">
        <f t="shared" ref="M243:M252" si="47">VALUE(CONCATENATE("0","0.000000"))</f>
        <v>0</v>
      </c>
      <c r="N243" s="8">
        <f t="shared" si="46"/>
        <v>0</v>
      </c>
      <c r="O243" s="7">
        <f>VALUE(CONCATENATE("0",0.4))+VALUE(CONCATENATE("0","0.000000"))-VALUE(CONCATENATE("0",0))-VALUE(CONCATENATE("0",0))-VALUE(CONCATENATE("0",0.4))-VALUE(CONCATENATE("0",0))-VALUE(CONCATENATE("0",0))-VALUE(CONCATENATE("0","0.000000"))</f>
        <v>0</v>
      </c>
      <c r="P243" s="6">
        <v>1</v>
      </c>
    </row>
    <row r="244" spans="1:16" ht="29.1" customHeight="1">
      <c r="A244" s="5" t="s">
        <v>245</v>
      </c>
      <c r="B244" s="10">
        <v>242</v>
      </c>
      <c r="C244" s="13" t="s">
        <v>244</v>
      </c>
      <c r="D244" s="9" t="s">
        <v>243</v>
      </c>
      <c r="E244" s="9" t="s">
        <v>112</v>
      </c>
      <c r="F244" s="9" t="s">
        <v>83</v>
      </c>
      <c r="G244" s="8">
        <f>VALUE(CONCATENATE("0",0.4))</f>
        <v>0.4</v>
      </c>
      <c r="H244" s="8">
        <f t="shared" si="43"/>
        <v>0</v>
      </c>
      <c r="I244" s="8">
        <f>VALUE(CONCATENATE("0",0.4))</f>
        <v>0.4</v>
      </c>
      <c r="J244" s="8">
        <f t="shared" si="36"/>
        <v>0</v>
      </c>
      <c r="K244" s="8">
        <f>VALUE(CONCATENATE("0",0))</f>
        <v>0</v>
      </c>
      <c r="L244" s="8">
        <f t="shared" si="41"/>
        <v>0</v>
      </c>
      <c r="M244" s="8">
        <f t="shared" si="47"/>
        <v>0</v>
      </c>
      <c r="N244" s="8">
        <f t="shared" si="46"/>
        <v>0</v>
      </c>
      <c r="O244" s="7">
        <f>VALUE(CONCATENATE("0",0.4))+VALUE(CONCATENATE("0","0.000000"))-VALUE(CONCATENATE("0",0))-VALUE(CONCATENATE("0",0))-VALUE(CONCATENATE("0",0.4))-VALUE(CONCATENATE("0",0))-VALUE(CONCATENATE("0",0))-VALUE(CONCATENATE("0","0.000000"))</f>
        <v>0</v>
      </c>
      <c r="P244" s="6">
        <v>1</v>
      </c>
    </row>
    <row r="245" spans="1:16" ht="24.95" customHeight="1">
      <c r="A245" s="5" t="s">
        <v>242</v>
      </c>
      <c r="B245" s="10">
        <v>243</v>
      </c>
      <c r="C245" s="13" t="s">
        <v>241</v>
      </c>
      <c r="D245" s="9" t="s">
        <v>240</v>
      </c>
      <c r="E245" s="9" t="s">
        <v>66</v>
      </c>
      <c r="F245" s="9" t="s">
        <v>147</v>
      </c>
      <c r="G245" s="8">
        <f>VALUE(CONCATENATE("0",0.39))</f>
        <v>0.39</v>
      </c>
      <c r="H245" s="8">
        <f t="shared" si="43"/>
        <v>0</v>
      </c>
      <c r="I245" s="8">
        <f>VALUE(CONCATENATE("0",0.39))</f>
        <v>0.39</v>
      </c>
      <c r="J245" s="8">
        <f t="shared" si="36"/>
        <v>0</v>
      </c>
      <c r="K245" s="8">
        <f>VALUE(CONCATENATE("0",0))</f>
        <v>0</v>
      </c>
      <c r="L245" s="8">
        <f t="shared" si="41"/>
        <v>0</v>
      </c>
      <c r="M245" s="8">
        <f t="shared" si="47"/>
        <v>0</v>
      </c>
      <c r="N245" s="8">
        <f t="shared" si="46"/>
        <v>0</v>
      </c>
      <c r="O245" s="7">
        <f>VALUE(CONCATENATE("0",0.39))+VALUE(CONCATENATE("0","0.000000"))-VALUE(CONCATENATE("0",0))-VALUE(CONCATENATE("0",0))-VALUE(CONCATENATE("0",0.39))-VALUE(CONCATENATE("0",0))-VALUE(CONCATENATE("0",0))-VALUE(CONCATENATE("0","0.000000"))</f>
        <v>0</v>
      </c>
      <c r="P245" s="6">
        <v>1</v>
      </c>
    </row>
    <row r="246" spans="1:16" ht="29.1" customHeight="1">
      <c r="A246" s="5" t="s">
        <v>239</v>
      </c>
      <c r="B246" s="10">
        <v>244</v>
      </c>
      <c r="C246" s="13" t="s">
        <v>238</v>
      </c>
      <c r="D246" s="9" t="s">
        <v>237</v>
      </c>
      <c r="E246" s="9" t="s">
        <v>68</v>
      </c>
      <c r="F246" s="9" t="s">
        <v>83</v>
      </c>
      <c r="G246" s="8">
        <f>VALUE(CONCATENATE("0",0.36))</f>
        <v>0.36</v>
      </c>
      <c r="H246" s="8">
        <f t="shared" si="43"/>
        <v>0</v>
      </c>
      <c r="I246" s="8">
        <f>VALUE(CONCATENATE("0",0.36))</f>
        <v>0.36</v>
      </c>
      <c r="J246" s="8">
        <f t="shared" si="36"/>
        <v>0</v>
      </c>
      <c r="K246" s="8">
        <f>VALUE(CONCATENATE("0",0))</f>
        <v>0</v>
      </c>
      <c r="L246" s="8">
        <f t="shared" si="41"/>
        <v>0</v>
      </c>
      <c r="M246" s="8">
        <f t="shared" si="47"/>
        <v>0</v>
      </c>
      <c r="N246" s="8">
        <f t="shared" si="46"/>
        <v>0</v>
      </c>
      <c r="O246" s="7">
        <f>VALUE(CONCATENATE("0",0.36))+VALUE(CONCATENATE("0","0.000000"))-VALUE(CONCATENATE("0",0))-VALUE(CONCATENATE("0",0))-VALUE(CONCATENATE("0",0.36))-VALUE(CONCATENATE("0",0))-VALUE(CONCATENATE("0",0))-VALUE(CONCATENATE("0","0.000000"))</f>
        <v>0</v>
      </c>
      <c r="P246" s="6">
        <v>1</v>
      </c>
    </row>
    <row r="247" spans="1:16" ht="29.1" customHeight="1">
      <c r="A247" s="5" t="s">
        <v>236</v>
      </c>
      <c r="B247" s="10">
        <v>245</v>
      </c>
      <c r="C247" s="13" t="s">
        <v>235</v>
      </c>
      <c r="D247" s="9" t="s">
        <v>234</v>
      </c>
      <c r="E247" s="9" t="s">
        <v>69</v>
      </c>
      <c r="F247" s="9" t="s">
        <v>224</v>
      </c>
      <c r="G247" s="8">
        <f>VALUE(CONCATENATE("0",0.31))</f>
        <v>0.31</v>
      </c>
      <c r="H247" s="8">
        <f t="shared" si="43"/>
        <v>0</v>
      </c>
      <c r="I247" s="8">
        <f>VALUE(CONCATENATE("0",0))</f>
        <v>0</v>
      </c>
      <c r="J247" s="8">
        <f t="shared" si="36"/>
        <v>0</v>
      </c>
      <c r="K247" s="8">
        <f>VALUE(CONCATENATE("0",0.31))</f>
        <v>0.31</v>
      </c>
      <c r="L247" s="8">
        <f t="shared" si="41"/>
        <v>0</v>
      </c>
      <c r="M247" s="8">
        <f t="shared" si="47"/>
        <v>0</v>
      </c>
      <c r="N247" s="8">
        <f t="shared" si="46"/>
        <v>0</v>
      </c>
      <c r="O247" s="7">
        <f>VALUE(CONCATENATE("0",0.31))+VALUE(CONCATENATE("0","0.000000"))-VALUE(CONCATENATE("0",0))-VALUE(CONCATENATE("0",0))-VALUE(CONCATENATE("0",0))-VALUE(CONCATENATE("0",0.31))-VALUE(CONCATENATE("0",0))-VALUE(CONCATENATE("0","0.000000"))</f>
        <v>0</v>
      </c>
      <c r="P247" s="6">
        <v>1</v>
      </c>
    </row>
    <row r="248" spans="1:16" ht="29.1" customHeight="1">
      <c r="A248" s="5" t="s">
        <v>233</v>
      </c>
      <c r="B248" s="10">
        <v>246</v>
      </c>
      <c r="C248" s="13" t="s">
        <v>232</v>
      </c>
      <c r="D248" s="9" t="s">
        <v>231</v>
      </c>
      <c r="E248" s="9" t="s">
        <v>65</v>
      </c>
      <c r="F248" s="9" t="s">
        <v>80</v>
      </c>
      <c r="G248" s="8">
        <f>VALUE(CONCATENATE("0",0.3))</f>
        <v>0.3</v>
      </c>
      <c r="H248" s="8">
        <f t="shared" si="43"/>
        <v>0</v>
      </c>
      <c r="I248" s="8">
        <f>VALUE(CONCATENATE("0",0))</f>
        <v>0</v>
      </c>
      <c r="J248" s="8">
        <f t="shared" si="36"/>
        <v>0</v>
      </c>
      <c r="K248" s="8">
        <f>VALUE(CONCATENATE("0",0.3))</f>
        <v>0.3</v>
      </c>
      <c r="L248" s="8">
        <f t="shared" si="41"/>
        <v>0</v>
      </c>
      <c r="M248" s="8">
        <f t="shared" si="47"/>
        <v>0</v>
      </c>
      <c r="N248" s="8">
        <f t="shared" si="46"/>
        <v>0</v>
      </c>
      <c r="O248" s="7">
        <f>VALUE(CONCATENATE("0",0.3))+VALUE(CONCATENATE("0","0.000000"))-VALUE(CONCATENATE("0",0))-VALUE(CONCATENATE("0",0))-VALUE(CONCATENATE("0",0))-VALUE(CONCATENATE("0",0.3))-VALUE(CONCATENATE("0",0))-VALUE(CONCATENATE("0","0.000000"))</f>
        <v>0</v>
      </c>
      <c r="P248" s="6">
        <v>1</v>
      </c>
    </row>
    <row r="249" spans="1:16" ht="29.1" customHeight="1">
      <c r="A249" s="5" t="s">
        <v>230</v>
      </c>
      <c r="B249" s="10">
        <v>247</v>
      </c>
      <c r="C249" s="13" t="s">
        <v>229</v>
      </c>
      <c r="D249" s="9" t="s">
        <v>228</v>
      </c>
      <c r="E249" s="9" t="s">
        <v>66</v>
      </c>
      <c r="F249" s="9" t="s">
        <v>83</v>
      </c>
      <c r="G249" s="8">
        <f>VALUE(CONCATENATE("0",0.3))</f>
        <v>0.3</v>
      </c>
      <c r="H249" s="8">
        <f t="shared" si="43"/>
        <v>0</v>
      </c>
      <c r="I249" s="8">
        <f>VALUE(CONCATENATE("0",0))</f>
        <v>0</v>
      </c>
      <c r="J249" s="8">
        <f t="shared" si="36"/>
        <v>0</v>
      </c>
      <c r="K249" s="8">
        <f>VALUE(CONCATENATE("0",0.3))</f>
        <v>0.3</v>
      </c>
      <c r="L249" s="8">
        <f t="shared" si="41"/>
        <v>0</v>
      </c>
      <c r="M249" s="8">
        <f t="shared" si="47"/>
        <v>0</v>
      </c>
      <c r="N249" s="8">
        <f t="shared" si="46"/>
        <v>0</v>
      </c>
      <c r="O249" s="7">
        <f>VALUE(CONCATENATE("0",0.3))+VALUE(CONCATENATE("0","0.000000"))-VALUE(CONCATENATE("0",0))-VALUE(CONCATENATE("0",0))-VALUE(CONCATENATE("0",0))-VALUE(CONCATENATE("0",0.3))-VALUE(CONCATENATE("0",0))-VALUE(CONCATENATE("0","0.000000"))</f>
        <v>0</v>
      </c>
      <c r="P249" s="6">
        <v>1</v>
      </c>
    </row>
    <row r="250" spans="1:16" ht="29.1" customHeight="1">
      <c r="A250" s="5" t="s">
        <v>227</v>
      </c>
      <c r="B250" s="10">
        <v>248</v>
      </c>
      <c r="C250" s="13" t="s">
        <v>226</v>
      </c>
      <c r="D250" s="9" t="s">
        <v>225</v>
      </c>
      <c r="E250" s="9" t="s">
        <v>65</v>
      </c>
      <c r="F250" s="9" t="s">
        <v>224</v>
      </c>
      <c r="G250" s="8">
        <f>VALUE(CONCATENATE("0",0.25))</f>
        <v>0.25</v>
      </c>
      <c r="H250" s="8">
        <f t="shared" si="43"/>
        <v>0</v>
      </c>
      <c r="I250" s="8">
        <f>VALUE(CONCATENATE("0",0))</f>
        <v>0</v>
      </c>
      <c r="J250" s="8">
        <f t="shared" si="36"/>
        <v>0</v>
      </c>
      <c r="K250" s="8">
        <f>VALUE(CONCATENATE("0",0.25))</f>
        <v>0.25</v>
      </c>
      <c r="L250" s="8">
        <f t="shared" si="41"/>
        <v>0</v>
      </c>
      <c r="M250" s="8">
        <f t="shared" si="47"/>
        <v>0</v>
      </c>
      <c r="N250" s="8">
        <f t="shared" si="46"/>
        <v>0</v>
      </c>
      <c r="O250" s="7">
        <f>VALUE(CONCATENATE("0",0.25))+VALUE(CONCATENATE("0","0.000000"))-VALUE(CONCATENATE("0",0))-VALUE(CONCATENATE("0",0))-VALUE(CONCATENATE("0",0))-VALUE(CONCATENATE("0",0.25))-VALUE(CONCATENATE("0",0))-VALUE(CONCATENATE("0","0.000000"))</f>
        <v>0</v>
      </c>
      <c r="P250" s="6">
        <v>1</v>
      </c>
    </row>
    <row r="251" spans="1:16" ht="24.95" customHeight="1">
      <c r="A251" s="5" t="s">
        <v>223</v>
      </c>
      <c r="B251" s="10">
        <v>249</v>
      </c>
      <c r="C251" s="13" t="s">
        <v>222</v>
      </c>
      <c r="D251" s="9" t="s">
        <v>221</v>
      </c>
      <c r="E251" s="9" t="s">
        <v>65</v>
      </c>
      <c r="F251" s="9" t="s">
        <v>220</v>
      </c>
      <c r="G251" s="8">
        <f>VALUE(CONCATENATE("0",0.24))</f>
        <v>0.24</v>
      </c>
      <c r="H251" s="8">
        <f t="shared" si="43"/>
        <v>0</v>
      </c>
      <c r="I251" s="8">
        <f>VALUE(CONCATENATE("0",0.24))</f>
        <v>0.24</v>
      </c>
      <c r="J251" s="8">
        <f t="shared" si="36"/>
        <v>0</v>
      </c>
      <c r="K251" s="8">
        <f>VALUE(CONCATENATE("0",0))</f>
        <v>0</v>
      </c>
      <c r="L251" s="8">
        <f t="shared" si="41"/>
        <v>0</v>
      </c>
      <c r="M251" s="8">
        <f t="shared" si="47"/>
        <v>0</v>
      </c>
      <c r="N251" s="8">
        <f t="shared" si="46"/>
        <v>0</v>
      </c>
      <c r="O251" s="7">
        <f>VALUE(CONCATENATE("0",0.24))+VALUE(CONCATENATE("0","0.000000"))-VALUE(CONCATENATE("0",0))-VALUE(CONCATENATE("0",0))-VALUE(CONCATENATE("0",0.24))-VALUE(CONCATENATE("0",0))-VALUE(CONCATENATE("0",0))-VALUE(CONCATENATE("0","0.000000"))</f>
        <v>0</v>
      </c>
      <c r="P251" s="6">
        <v>1</v>
      </c>
    </row>
    <row r="252" spans="1:16" ht="24.95" customHeight="1">
      <c r="A252" s="5" t="s">
        <v>219</v>
      </c>
      <c r="B252" s="10">
        <v>250</v>
      </c>
      <c r="C252" s="13" t="s">
        <v>218</v>
      </c>
      <c r="D252" s="9" t="s">
        <v>217</v>
      </c>
      <c r="E252" s="9" t="s">
        <v>96</v>
      </c>
      <c r="F252" s="9" t="s">
        <v>83</v>
      </c>
      <c r="G252" s="8">
        <f>VALUE(CONCATENATE("0",0.24))</f>
        <v>0.24</v>
      </c>
      <c r="H252" s="8">
        <f t="shared" si="43"/>
        <v>0</v>
      </c>
      <c r="I252" s="8">
        <f>VALUE(CONCATENATE("0",0))</f>
        <v>0</v>
      </c>
      <c r="J252" s="8">
        <f t="shared" si="36"/>
        <v>0</v>
      </c>
      <c r="K252" s="8">
        <f>VALUE(CONCATENATE("0",0.24))</f>
        <v>0.24</v>
      </c>
      <c r="L252" s="8">
        <f t="shared" si="41"/>
        <v>0</v>
      </c>
      <c r="M252" s="8">
        <f t="shared" si="47"/>
        <v>0</v>
      </c>
      <c r="N252" s="8">
        <f t="shared" si="46"/>
        <v>0</v>
      </c>
      <c r="O252" s="7">
        <f>VALUE(CONCATENATE("0",0.24))+VALUE(CONCATENATE("0","0.000000"))-VALUE(CONCATENATE("0",0))-VALUE(CONCATENATE("0",0))-VALUE(CONCATENATE("0",0))-VALUE(CONCATENATE("0",0.24))-VALUE(CONCATENATE("0",0))-VALUE(CONCATENATE("0","0.000000"))</f>
        <v>0</v>
      </c>
      <c r="P252" s="6">
        <v>1</v>
      </c>
    </row>
    <row r="253" spans="1:16" ht="29.1" customHeight="1">
      <c r="A253" s="5" t="s">
        <v>216</v>
      </c>
      <c r="B253" s="10">
        <v>251</v>
      </c>
      <c r="C253" s="13" t="s">
        <v>215</v>
      </c>
      <c r="D253" s="9" t="s">
        <v>214</v>
      </c>
      <c r="E253" s="9" t="s">
        <v>96</v>
      </c>
      <c r="F253" s="9" t="s">
        <v>83</v>
      </c>
      <c r="G253" s="8">
        <f>VALUE(CONCATENATE("0",0.24))</f>
        <v>0.24</v>
      </c>
      <c r="H253" s="8">
        <f t="shared" si="43"/>
        <v>0</v>
      </c>
      <c r="I253" s="8">
        <f>VALUE(CONCATENATE("0",0))</f>
        <v>0</v>
      </c>
      <c r="J253" s="8">
        <f t="shared" si="36"/>
        <v>0</v>
      </c>
      <c r="K253" s="8">
        <f>VALUE(CONCATENATE("0",0))</f>
        <v>0</v>
      </c>
      <c r="L253" s="8">
        <f t="shared" si="41"/>
        <v>0</v>
      </c>
      <c r="M253" s="8">
        <f>VALUE(CONCATENATE("0","0.240000"))</f>
        <v>0.24</v>
      </c>
      <c r="N253" s="8">
        <f t="shared" si="46"/>
        <v>0</v>
      </c>
      <c r="O253" s="7">
        <f>VALUE(CONCATENATE("0",0.24))+VALUE(CONCATENATE("0","0.000000"))-VALUE(CONCATENATE("0",0))-VALUE(CONCATENATE("0",0))-VALUE(CONCATENATE("0",0))-VALUE(CONCATENATE("0",0))-VALUE(CONCATENATE("0",0))-VALUE(CONCATENATE("0","0.240000"))</f>
        <v>0</v>
      </c>
      <c r="P253" s="6">
        <v>0</v>
      </c>
    </row>
    <row r="254" spans="1:16" ht="29.1" customHeight="1">
      <c r="A254" s="5" t="s">
        <v>213</v>
      </c>
      <c r="B254" s="10">
        <v>252</v>
      </c>
      <c r="C254" s="13" t="s">
        <v>212</v>
      </c>
      <c r="D254" s="9" t="s">
        <v>197</v>
      </c>
      <c r="E254" s="9" t="s">
        <v>112</v>
      </c>
      <c r="F254" s="9" t="s">
        <v>83</v>
      </c>
      <c r="G254" s="8">
        <f>VALUE(CONCATENATE("0",0.2))</f>
        <v>0.2</v>
      </c>
      <c r="H254" s="8">
        <f t="shared" si="43"/>
        <v>0</v>
      </c>
      <c r="I254" s="8">
        <f>VALUE(CONCATENATE("0",0))</f>
        <v>0</v>
      </c>
      <c r="J254" s="8">
        <f t="shared" si="36"/>
        <v>0</v>
      </c>
      <c r="K254" s="8">
        <f>VALUE(CONCATENATE("0",0.2))</f>
        <v>0.2</v>
      </c>
      <c r="L254" s="8">
        <f t="shared" si="41"/>
        <v>0</v>
      </c>
      <c r="M254" s="8">
        <f>VALUE(CONCATENATE("0","0.000000"))</f>
        <v>0</v>
      </c>
      <c r="N254" s="8">
        <f t="shared" si="46"/>
        <v>0</v>
      </c>
      <c r="O254" s="7">
        <f>VALUE(CONCATENATE("0",0.2))+VALUE(CONCATENATE("0","0.000000"))-VALUE(CONCATENATE("0",0))-VALUE(CONCATENATE("0",0))-VALUE(CONCATENATE("0",0))-VALUE(CONCATENATE("0",0.2))-VALUE(CONCATENATE("0",0))-VALUE(CONCATENATE("0","0.000000"))</f>
        <v>0</v>
      </c>
      <c r="P254" s="6">
        <v>1</v>
      </c>
    </row>
    <row r="255" spans="1:16" ht="29.1" customHeight="1">
      <c r="A255" s="5" t="s">
        <v>211</v>
      </c>
      <c r="B255" s="10">
        <v>253</v>
      </c>
      <c r="C255" s="13" t="s">
        <v>210</v>
      </c>
      <c r="D255" s="9" t="s">
        <v>209</v>
      </c>
      <c r="E255" s="9" t="s">
        <v>65</v>
      </c>
      <c r="F255" s="9" t="s">
        <v>83</v>
      </c>
      <c r="G255" s="8">
        <f>VALUE(CONCATENATE("0",0.2))</f>
        <v>0.2</v>
      </c>
      <c r="H255" s="8">
        <f t="shared" si="43"/>
        <v>0</v>
      </c>
      <c r="I255" s="8">
        <f>VALUE(CONCATENATE("0",0))</f>
        <v>0</v>
      </c>
      <c r="J255" s="8">
        <f t="shared" si="36"/>
        <v>0</v>
      </c>
      <c r="K255" s="8">
        <f>VALUE(CONCATENATE("0",0))</f>
        <v>0</v>
      </c>
      <c r="L255" s="8">
        <f t="shared" ref="L255:L277" si="48">VALUE(CONCATENATE("0",0))</f>
        <v>0</v>
      </c>
      <c r="M255" s="8">
        <f>VALUE(CONCATENATE("0","0.200000"))</f>
        <v>0.2</v>
      </c>
      <c r="N255" s="8">
        <f t="shared" si="46"/>
        <v>0</v>
      </c>
      <c r="O255" s="7">
        <f>VALUE(CONCATENATE("0",0.2))+VALUE(CONCATENATE("0","0.000000"))-VALUE(CONCATENATE("0",0))-VALUE(CONCATENATE("0",0))-VALUE(CONCATENATE("0",0))-VALUE(CONCATENATE("0",0))-VALUE(CONCATENATE("0",0))-VALUE(CONCATENATE("0","0.200000"))</f>
        <v>0</v>
      </c>
      <c r="P255" s="6">
        <v>0</v>
      </c>
    </row>
    <row r="256" spans="1:16" ht="29.1" customHeight="1">
      <c r="A256" s="5" t="s">
        <v>208</v>
      </c>
      <c r="B256" s="10">
        <v>254</v>
      </c>
      <c r="C256" s="13" t="s">
        <v>207</v>
      </c>
      <c r="D256" s="9" t="s">
        <v>206</v>
      </c>
      <c r="E256" s="9" t="s">
        <v>66</v>
      </c>
      <c r="F256" s="9" t="s">
        <v>83</v>
      </c>
      <c r="G256" s="8">
        <f>VALUE(CONCATENATE("0",0.18))</f>
        <v>0.18</v>
      </c>
      <c r="H256" s="8">
        <f t="shared" si="43"/>
        <v>0</v>
      </c>
      <c r="I256" s="8">
        <f>VALUE(CONCATENATE("0",0))</f>
        <v>0</v>
      </c>
      <c r="J256" s="8">
        <f t="shared" si="36"/>
        <v>0</v>
      </c>
      <c r="K256" s="8">
        <f>VALUE(CONCATENATE("0",0))</f>
        <v>0</v>
      </c>
      <c r="L256" s="8">
        <f t="shared" si="48"/>
        <v>0</v>
      </c>
      <c r="M256" s="8">
        <f>VALUE(CONCATENATE("0","0.180000"))</f>
        <v>0.18</v>
      </c>
      <c r="N256" s="8">
        <f t="shared" si="46"/>
        <v>0</v>
      </c>
      <c r="O256" s="7">
        <f>VALUE(CONCATENATE("0",0.18))+VALUE(CONCATENATE("0","0.000000"))-VALUE(CONCATENATE("0",0))-VALUE(CONCATENATE("0",0))-VALUE(CONCATENATE("0",0))-VALUE(CONCATENATE("0",0))-VALUE(CONCATENATE("0",0))-VALUE(CONCATENATE("0","0.180000"))</f>
        <v>0</v>
      </c>
      <c r="P256" s="6">
        <v>0</v>
      </c>
    </row>
    <row r="257" spans="1:16" ht="29.1" customHeight="1">
      <c r="A257" s="5" t="s">
        <v>205</v>
      </c>
      <c r="B257" s="10">
        <v>255</v>
      </c>
      <c r="C257" s="13" t="s">
        <v>204</v>
      </c>
      <c r="D257" s="9" t="s">
        <v>203</v>
      </c>
      <c r="E257" s="9" t="s">
        <v>112</v>
      </c>
      <c r="F257" s="9" t="s">
        <v>83</v>
      </c>
      <c r="G257" s="8">
        <f>VALUE(CONCATENATE("0",0.18))</f>
        <v>0.18</v>
      </c>
      <c r="H257" s="8">
        <f t="shared" si="43"/>
        <v>0</v>
      </c>
      <c r="I257" s="8">
        <f>VALUE(CONCATENATE("0",0.18))</f>
        <v>0.18</v>
      </c>
      <c r="J257" s="8">
        <f t="shared" si="36"/>
        <v>0</v>
      </c>
      <c r="K257" s="8">
        <f>VALUE(CONCATENATE("0",0))</f>
        <v>0</v>
      </c>
      <c r="L257" s="8">
        <f t="shared" si="48"/>
        <v>0</v>
      </c>
      <c r="M257" s="8">
        <f>VALUE(CONCATENATE("0","0.000000"))</f>
        <v>0</v>
      </c>
      <c r="N257" s="8">
        <f t="shared" si="46"/>
        <v>0</v>
      </c>
      <c r="O257" s="7">
        <f>VALUE(CONCATENATE("0",0.18))+VALUE(CONCATENATE("0","0.000000"))-VALUE(CONCATENATE("0",0))-VALUE(CONCATENATE("0",0))-VALUE(CONCATENATE("0",0.18))-VALUE(CONCATENATE("0",0))-VALUE(CONCATENATE("0",0))-VALUE(CONCATENATE("0","0.000000"))</f>
        <v>0</v>
      </c>
      <c r="P257" s="6">
        <v>1</v>
      </c>
    </row>
    <row r="258" spans="1:16" ht="29.1" customHeight="1">
      <c r="A258" s="5" t="s">
        <v>202</v>
      </c>
      <c r="B258" s="10">
        <v>256</v>
      </c>
      <c r="C258" s="13" t="s">
        <v>201</v>
      </c>
      <c r="D258" s="9" t="s">
        <v>200</v>
      </c>
      <c r="E258" s="9" t="s">
        <v>66</v>
      </c>
      <c r="F258" s="9" t="s">
        <v>83</v>
      </c>
      <c r="G258" s="8">
        <f>VALUE(CONCATENATE("0",0.18))</f>
        <v>0.18</v>
      </c>
      <c r="H258" s="8">
        <f t="shared" si="43"/>
        <v>0</v>
      </c>
      <c r="I258" s="8">
        <f>VALUE(CONCATENATE("0",0.2))</f>
        <v>0.2</v>
      </c>
      <c r="J258" s="8">
        <f t="shared" si="36"/>
        <v>0</v>
      </c>
      <c r="K258" s="8">
        <f>VALUE(CONCATENATE("0",0))</f>
        <v>0</v>
      </c>
      <c r="L258" s="8">
        <f t="shared" si="48"/>
        <v>0</v>
      </c>
      <c r="M258" s="8">
        <f>VALUE(CONCATENATE("0","0.000000"))</f>
        <v>0</v>
      </c>
      <c r="N258" s="8">
        <f>VALUE(CONCATENATE("0","0.020000"))</f>
        <v>0.02</v>
      </c>
      <c r="O258" s="7">
        <f>VALUE(CONCATENATE("0",0.18))+VALUE(CONCATENATE("0","0.020000"))-VALUE(CONCATENATE("0",0))-VALUE(CONCATENATE("0",0))-VALUE(CONCATENATE("0",0.2))-VALUE(CONCATENATE("0",0))-VALUE(CONCATENATE("0",0))-VALUE(CONCATENATE("0","0.000000"))</f>
        <v>-2.7755575615628914E-17</v>
      </c>
      <c r="P258" s="6">
        <v>1</v>
      </c>
    </row>
    <row r="259" spans="1:16" ht="29.1" customHeight="1">
      <c r="A259" s="5" t="s">
        <v>199</v>
      </c>
      <c r="B259" s="10">
        <v>257</v>
      </c>
      <c r="C259" s="13" t="s">
        <v>198</v>
      </c>
      <c r="D259" s="9" t="s">
        <v>197</v>
      </c>
      <c r="E259" s="9" t="s">
        <v>96</v>
      </c>
      <c r="F259" s="9" t="s">
        <v>83</v>
      </c>
      <c r="G259" s="8">
        <f>VALUE(CONCATENATE("0",0.17))</f>
        <v>0.17</v>
      </c>
      <c r="H259" s="8">
        <f t="shared" si="43"/>
        <v>0</v>
      </c>
      <c r="I259" s="8">
        <f>VALUE(CONCATENATE("0",0.17))</f>
        <v>0.17</v>
      </c>
      <c r="J259" s="8">
        <f t="shared" si="36"/>
        <v>0</v>
      </c>
      <c r="K259" s="8">
        <f>VALUE(CONCATENATE("0",0))</f>
        <v>0</v>
      </c>
      <c r="L259" s="8">
        <f t="shared" si="48"/>
        <v>0</v>
      </c>
      <c r="M259" s="8">
        <f>VALUE(CONCATENATE("0","0.000000"))</f>
        <v>0</v>
      </c>
      <c r="N259" s="8">
        <f>VALUE(CONCATENATE("0","0.000000"))</f>
        <v>0</v>
      </c>
      <c r="O259" s="7">
        <f>VALUE(CONCATENATE("0",0.17))+VALUE(CONCATENATE("0","0.000000"))-VALUE(CONCATENATE("0",0))-VALUE(CONCATENATE("0",0))-VALUE(CONCATENATE("0",0.17))-VALUE(CONCATENATE("0",0))-VALUE(CONCATENATE("0",0))-VALUE(CONCATENATE("0","0.000000"))</f>
        <v>0</v>
      </c>
      <c r="P259" s="6">
        <v>1</v>
      </c>
    </row>
    <row r="260" spans="1:16" ht="29.1" customHeight="1">
      <c r="A260" s="5" t="s">
        <v>196</v>
      </c>
      <c r="B260" s="10">
        <v>258</v>
      </c>
      <c r="C260" s="13" t="s">
        <v>195</v>
      </c>
      <c r="D260" s="9" t="s">
        <v>194</v>
      </c>
      <c r="E260" s="9" t="s">
        <v>112</v>
      </c>
      <c r="F260" s="9" t="s">
        <v>83</v>
      </c>
      <c r="G260" s="8">
        <f>VALUE(CONCATENATE("0",0.17))</f>
        <v>0.17</v>
      </c>
      <c r="H260" s="8">
        <f t="shared" si="43"/>
        <v>0</v>
      </c>
      <c r="I260" s="8">
        <f>VALUE(CONCATENATE("0",0))</f>
        <v>0</v>
      </c>
      <c r="J260" s="8">
        <f t="shared" si="36"/>
        <v>0</v>
      </c>
      <c r="K260" s="8">
        <f>VALUE(CONCATENATE("0",0.17))</f>
        <v>0.17</v>
      </c>
      <c r="L260" s="8">
        <f t="shared" si="48"/>
        <v>0</v>
      </c>
      <c r="M260" s="8">
        <f>VALUE(CONCATENATE("0","0.000000"))</f>
        <v>0</v>
      </c>
      <c r="N260" s="8">
        <f>VALUE(CONCATENATE("0","0.000000"))</f>
        <v>0</v>
      </c>
      <c r="O260" s="7">
        <f>VALUE(CONCATENATE("0",0.17))+VALUE(CONCATENATE("0","0.000000"))-VALUE(CONCATENATE("0",0))-VALUE(CONCATENATE("0",0))-VALUE(CONCATENATE("0",0))-VALUE(CONCATENATE("0",0.17))-VALUE(CONCATENATE("0",0))-VALUE(CONCATENATE("0","0.000000"))</f>
        <v>0</v>
      </c>
      <c r="P260" s="6">
        <v>1</v>
      </c>
    </row>
    <row r="261" spans="1:16" ht="24.95" customHeight="1">
      <c r="A261" s="5" t="s">
        <v>193</v>
      </c>
      <c r="B261" s="10">
        <v>259</v>
      </c>
      <c r="C261" s="13" t="s">
        <v>192</v>
      </c>
      <c r="D261" s="9" t="s">
        <v>191</v>
      </c>
      <c r="E261" s="9" t="s">
        <v>67</v>
      </c>
      <c r="F261" s="9" t="s">
        <v>83</v>
      </c>
      <c r="G261" s="8">
        <f>VALUE(CONCATENATE("0",0.15))</f>
        <v>0.15</v>
      </c>
      <c r="H261" s="8">
        <f t="shared" si="43"/>
        <v>0</v>
      </c>
      <c r="I261" s="8">
        <f>VALUE(CONCATENATE("0",0))</f>
        <v>0</v>
      </c>
      <c r="J261" s="8">
        <f t="shared" si="36"/>
        <v>0</v>
      </c>
      <c r="K261" s="8">
        <f>VALUE(CONCATENATE("0",0.15))</f>
        <v>0.15</v>
      </c>
      <c r="L261" s="8">
        <f t="shared" si="48"/>
        <v>0</v>
      </c>
      <c r="M261" s="8">
        <f>VALUE(CONCATENATE("0","0.000000"))</f>
        <v>0</v>
      </c>
      <c r="N261" s="8">
        <f>VALUE(CONCATENATE("0","0.000000"))</f>
        <v>0</v>
      </c>
      <c r="O261" s="7">
        <f>VALUE(CONCATENATE("0",0.15))+VALUE(CONCATENATE("0","0.000000"))-VALUE(CONCATENATE("0",0))-VALUE(CONCATENATE("0",0))-VALUE(CONCATENATE("0",0))-VALUE(CONCATENATE("0",0.15))-VALUE(CONCATENATE("0",0))-VALUE(CONCATENATE("0","0.000000"))</f>
        <v>0</v>
      </c>
      <c r="P261" s="6">
        <v>1</v>
      </c>
    </row>
    <row r="262" spans="1:16" ht="24.95" customHeight="1">
      <c r="A262" s="5" t="s">
        <v>190</v>
      </c>
      <c r="B262" s="10">
        <v>260</v>
      </c>
      <c r="C262" s="13" t="s">
        <v>189</v>
      </c>
      <c r="D262" s="9" t="s">
        <v>188</v>
      </c>
      <c r="E262" s="9" t="s">
        <v>73</v>
      </c>
      <c r="F262" s="9" t="s">
        <v>83</v>
      </c>
      <c r="G262" s="8">
        <f>VALUE(CONCATENATE("0",0.13))</f>
        <v>0.13</v>
      </c>
      <c r="H262" s="8">
        <f t="shared" si="43"/>
        <v>0</v>
      </c>
      <c r="I262" s="8">
        <f>VALUE(CONCATENATE("0",0))</f>
        <v>0</v>
      </c>
      <c r="J262" s="8">
        <f t="shared" si="36"/>
        <v>0</v>
      </c>
      <c r="K262" s="8">
        <f>VALUE(CONCATENATE("0",0))</f>
        <v>0</v>
      </c>
      <c r="L262" s="8">
        <f t="shared" si="48"/>
        <v>0</v>
      </c>
      <c r="M262" s="8">
        <f>VALUE(CONCATENATE("0","0.580000"))</f>
        <v>0.57999999999999996</v>
      </c>
      <c r="N262" s="8">
        <f>VALUE(CONCATENATE("0","0.450000"))</f>
        <v>0.45</v>
      </c>
      <c r="O262" s="7">
        <f>VALUE(CONCATENATE("0",0.13))+VALUE(CONCATENATE("0","0.450000"))-VALUE(CONCATENATE("0",0))-VALUE(CONCATENATE("0",0))-VALUE(CONCATENATE("0",0))-VALUE(CONCATENATE("0",0))-VALUE(CONCATENATE("0",0))-VALUE(CONCATENATE("0","0.580000"))</f>
        <v>0</v>
      </c>
      <c r="P262" s="6">
        <v>0</v>
      </c>
    </row>
    <row r="263" spans="1:16" ht="29.1" customHeight="1">
      <c r="A263" s="5" t="s">
        <v>187</v>
      </c>
      <c r="B263" s="10">
        <v>261</v>
      </c>
      <c r="C263" s="13" t="s">
        <v>186</v>
      </c>
      <c r="D263" s="9" t="s">
        <v>185</v>
      </c>
      <c r="E263" s="9" t="s">
        <v>69</v>
      </c>
      <c r="F263" s="9" t="s">
        <v>80</v>
      </c>
      <c r="G263" s="8">
        <f>VALUE(CONCATENATE("0",0.12))</f>
        <v>0.12</v>
      </c>
      <c r="H263" s="8">
        <f t="shared" si="43"/>
        <v>0</v>
      </c>
      <c r="I263" s="8">
        <f>VALUE(CONCATENATE("0",0))</f>
        <v>0</v>
      </c>
      <c r="J263" s="8">
        <f t="shared" si="36"/>
        <v>0</v>
      </c>
      <c r="K263" s="8">
        <f>VALUE(CONCATENATE("0",0.12))</f>
        <v>0.12</v>
      </c>
      <c r="L263" s="8">
        <f t="shared" si="48"/>
        <v>0</v>
      </c>
      <c r="M263" s="8">
        <f>VALUE(CONCATENATE("0","0.000000"))</f>
        <v>0</v>
      </c>
      <c r="N263" s="8">
        <f>VALUE(CONCATENATE("0","0.000000"))</f>
        <v>0</v>
      </c>
      <c r="O263" s="7">
        <f>VALUE(CONCATENATE("0",0.12))+VALUE(CONCATENATE("0","0.000000"))-VALUE(CONCATENATE("0",0))-VALUE(CONCATENATE("0",0))-VALUE(CONCATENATE("0",0))-VALUE(CONCATENATE("0",0.12))-VALUE(CONCATENATE("0",0))-VALUE(CONCATENATE("0","0.000000"))</f>
        <v>0</v>
      </c>
      <c r="P263" s="6">
        <v>1</v>
      </c>
    </row>
    <row r="264" spans="1:16" ht="29.1" customHeight="1">
      <c r="A264" s="5" t="s">
        <v>184</v>
      </c>
      <c r="B264" s="10">
        <v>262</v>
      </c>
      <c r="C264" s="13" t="s">
        <v>183</v>
      </c>
      <c r="D264" s="9" t="s">
        <v>182</v>
      </c>
      <c r="E264" s="9" t="s">
        <v>69</v>
      </c>
      <c r="F264" s="9" t="s">
        <v>83</v>
      </c>
      <c r="G264" s="8">
        <f>VALUE(CONCATENATE("0",0.11))</f>
        <v>0.11</v>
      </c>
      <c r="H264" s="8">
        <f t="shared" ref="H264:H297" si="49">VALUE(CONCATENATE("0",0))</f>
        <v>0</v>
      </c>
      <c r="I264" s="8">
        <f>VALUE(CONCATENATE("0",0))</f>
        <v>0</v>
      </c>
      <c r="J264" s="8">
        <f t="shared" si="36"/>
        <v>0</v>
      </c>
      <c r="K264" s="8">
        <f t="shared" ref="K264:K272" si="50">VALUE(CONCATENATE("0",0))</f>
        <v>0</v>
      </c>
      <c r="L264" s="8">
        <f t="shared" si="48"/>
        <v>0</v>
      </c>
      <c r="M264" s="8">
        <f>VALUE(CONCATENATE("0","0.110000"))</f>
        <v>0.11</v>
      </c>
      <c r="N264" s="8">
        <f>VALUE(CONCATENATE("0","0.000000"))</f>
        <v>0</v>
      </c>
      <c r="O264" s="7">
        <f>VALUE(CONCATENATE("0",0.11))+VALUE(CONCATENATE("0","0.000000"))-VALUE(CONCATENATE("0",0))-VALUE(CONCATENATE("0",0))-VALUE(CONCATENATE("0",0))-VALUE(CONCATENATE("0",0))-VALUE(CONCATENATE("0",0))-VALUE(CONCATENATE("0","0.110000"))</f>
        <v>0</v>
      </c>
      <c r="P264" s="6">
        <v>0</v>
      </c>
    </row>
    <row r="265" spans="1:16" ht="29.1" customHeight="1">
      <c r="A265" s="5" t="s">
        <v>181</v>
      </c>
      <c r="B265" s="10">
        <v>263</v>
      </c>
      <c r="C265" s="13" t="s">
        <v>180</v>
      </c>
      <c r="D265" s="9" t="s">
        <v>179</v>
      </c>
      <c r="E265" s="9" t="s">
        <v>112</v>
      </c>
      <c r="F265" s="9" t="s">
        <v>83</v>
      </c>
      <c r="G265" s="8">
        <f>VALUE(CONCATENATE("0",0.1))</f>
        <v>0.1</v>
      </c>
      <c r="H265" s="8">
        <f t="shared" si="49"/>
        <v>0</v>
      </c>
      <c r="I265" s="8">
        <f>VALUE(CONCATENATE("0",0.1))</f>
        <v>0.1</v>
      </c>
      <c r="J265" s="8">
        <f t="shared" ref="J265:J297" si="51">VALUE(CONCATENATE("0",0))</f>
        <v>0</v>
      </c>
      <c r="K265" s="8">
        <f t="shared" si="50"/>
        <v>0</v>
      </c>
      <c r="L265" s="8">
        <f t="shared" si="48"/>
        <v>0</v>
      </c>
      <c r="M265" s="8">
        <f>VALUE(CONCATENATE("0","0.000000"))</f>
        <v>0</v>
      </c>
      <c r="N265" s="8">
        <f>VALUE(CONCATENATE("0","0.000000"))</f>
        <v>0</v>
      </c>
      <c r="O265" s="7">
        <f>VALUE(CONCATENATE("0",0.1))+VALUE(CONCATENATE("0","0.000000"))-VALUE(CONCATENATE("0",0))-VALUE(CONCATENATE("0",0))-VALUE(CONCATENATE("0",0.1))-VALUE(CONCATENATE("0",0))-VALUE(CONCATENATE("0",0))-VALUE(CONCATENATE("0","0.000000"))</f>
        <v>0</v>
      </c>
      <c r="P265" s="6">
        <v>1</v>
      </c>
    </row>
    <row r="266" spans="1:16" ht="29.1" customHeight="1">
      <c r="A266" s="5" t="s">
        <v>178</v>
      </c>
      <c r="B266" s="10">
        <v>264</v>
      </c>
      <c r="C266" s="13" t="s">
        <v>177</v>
      </c>
      <c r="D266" s="9" t="s">
        <v>86</v>
      </c>
      <c r="E266" s="9" t="s">
        <v>69</v>
      </c>
      <c r="F266" s="9" t="s">
        <v>83</v>
      </c>
      <c r="G266" s="8">
        <f>VALUE(CONCATENATE("0",0.08))</f>
        <v>0.08</v>
      </c>
      <c r="H266" s="8">
        <f t="shared" si="49"/>
        <v>0</v>
      </c>
      <c r="I266" s="8">
        <f>VALUE(CONCATENATE("0",0))</f>
        <v>0</v>
      </c>
      <c r="J266" s="8">
        <f t="shared" si="51"/>
        <v>0</v>
      </c>
      <c r="K266" s="8">
        <f t="shared" si="50"/>
        <v>0</v>
      </c>
      <c r="L266" s="8">
        <f t="shared" si="48"/>
        <v>0</v>
      </c>
      <c r="M266" s="8">
        <f>VALUE(CONCATENATE("0","0.080000"))</f>
        <v>0.08</v>
      </c>
      <c r="N266" s="8">
        <f>VALUE(CONCATENATE("0","0.000000"))</f>
        <v>0</v>
      </c>
      <c r="O266" s="7">
        <f>VALUE(CONCATENATE("0",0.08))+VALUE(CONCATENATE("0","0.000000"))-VALUE(CONCATENATE("0",0))-VALUE(CONCATENATE("0",0))-VALUE(CONCATENATE("0",0))-VALUE(CONCATENATE("0",0))-VALUE(CONCATENATE("0",0))-VALUE(CONCATENATE("0","0.080000"))</f>
        <v>0</v>
      </c>
      <c r="P266" s="6">
        <v>0</v>
      </c>
    </row>
    <row r="267" spans="1:16" ht="29.1" customHeight="1">
      <c r="A267" s="5" t="s">
        <v>176</v>
      </c>
      <c r="B267" s="10">
        <v>265</v>
      </c>
      <c r="C267" s="13" t="s">
        <v>175</v>
      </c>
      <c r="D267" s="9" t="s">
        <v>174</v>
      </c>
      <c r="E267" s="9" t="s">
        <v>69</v>
      </c>
      <c r="F267" s="9" t="s">
        <v>83</v>
      </c>
      <c r="G267" s="8">
        <f>VALUE(CONCATENATE("0",0.08))</f>
        <v>0.08</v>
      </c>
      <c r="H267" s="8">
        <f t="shared" si="49"/>
        <v>0</v>
      </c>
      <c r="I267" s="8">
        <f>VALUE(CONCATENATE("0",0))</f>
        <v>0</v>
      </c>
      <c r="J267" s="8">
        <f t="shared" si="51"/>
        <v>0</v>
      </c>
      <c r="K267" s="8">
        <f t="shared" si="50"/>
        <v>0</v>
      </c>
      <c r="L267" s="8">
        <f t="shared" si="48"/>
        <v>0</v>
      </c>
      <c r="M267" s="8">
        <f>VALUE(CONCATENATE("0","0.080000"))</f>
        <v>0.08</v>
      </c>
      <c r="N267" s="8">
        <f>VALUE(CONCATENATE("0","0.000000"))</f>
        <v>0</v>
      </c>
      <c r="O267" s="7">
        <f>VALUE(CONCATENATE("0",0.08))+VALUE(CONCATENATE("0","0.000000"))-VALUE(CONCATENATE("0",0))-VALUE(CONCATENATE("0",0))-VALUE(CONCATENATE("0",0))-VALUE(CONCATENATE("0",0))-VALUE(CONCATENATE("0",0))-VALUE(CONCATENATE("0","0.080000"))</f>
        <v>0</v>
      </c>
      <c r="P267" s="6">
        <v>0</v>
      </c>
    </row>
    <row r="268" spans="1:16" ht="24.95" customHeight="1">
      <c r="A268" s="5" t="s">
        <v>173</v>
      </c>
      <c r="B268" s="10">
        <v>266</v>
      </c>
      <c r="C268" s="13" t="s">
        <v>172</v>
      </c>
      <c r="D268" s="9" t="s">
        <v>171</v>
      </c>
      <c r="E268" s="9" t="s">
        <v>68</v>
      </c>
      <c r="F268" s="9" t="s">
        <v>83</v>
      </c>
      <c r="G268" s="8">
        <f>VALUE(CONCATENATE("0",0.058))</f>
        <v>5.8000000000000003E-2</v>
      </c>
      <c r="H268" s="8">
        <f t="shared" si="49"/>
        <v>0</v>
      </c>
      <c r="I268" s="8">
        <f>VALUE(CONCATENATE("0",0))</f>
        <v>0</v>
      </c>
      <c r="J268" s="8">
        <f t="shared" si="51"/>
        <v>0</v>
      </c>
      <c r="K268" s="8">
        <f t="shared" si="50"/>
        <v>0</v>
      </c>
      <c r="L268" s="8">
        <f t="shared" si="48"/>
        <v>0</v>
      </c>
      <c r="M268" s="8">
        <f>VALUE(CONCATENATE("0","0.108000"))</f>
        <v>0.108</v>
      </c>
      <c r="N268" s="8">
        <f>VALUE(CONCATENATE("0","0.050000"))</f>
        <v>0.05</v>
      </c>
      <c r="O268" s="7">
        <f>VALUE(CONCATENATE("0",0.058))+VALUE(CONCATENATE("0","0.050000"))-VALUE(CONCATENATE("0",0))-VALUE(CONCATENATE("0",0))-VALUE(CONCATENATE("0",0))-VALUE(CONCATENATE("0",0))-VALUE(CONCATENATE("0",0))-VALUE(CONCATENATE("0","0.108000"))</f>
        <v>0</v>
      </c>
      <c r="P268" s="6">
        <v>0</v>
      </c>
    </row>
    <row r="269" spans="1:16" ht="29.1" customHeight="1">
      <c r="A269" s="5" t="s">
        <v>170</v>
      </c>
      <c r="B269" s="10">
        <v>267</v>
      </c>
      <c r="C269" s="13" t="s">
        <v>169</v>
      </c>
      <c r="D269" s="9" t="s">
        <v>168</v>
      </c>
      <c r="E269" s="9" t="s">
        <v>112</v>
      </c>
      <c r="F269" s="9" t="s">
        <v>83</v>
      </c>
      <c r="G269" s="8">
        <f>VALUE(CONCATENATE("0",0.052))</f>
        <v>5.1999999999999998E-2</v>
      </c>
      <c r="H269" s="8">
        <f t="shared" si="49"/>
        <v>0</v>
      </c>
      <c r="I269" s="8">
        <f>VALUE(CONCATENATE("0",0))</f>
        <v>0</v>
      </c>
      <c r="J269" s="8">
        <f t="shared" si="51"/>
        <v>0</v>
      </c>
      <c r="K269" s="8">
        <f t="shared" si="50"/>
        <v>0</v>
      </c>
      <c r="L269" s="8">
        <f t="shared" si="48"/>
        <v>0</v>
      </c>
      <c r="M269" s="8">
        <f>VALUE(CONCATENATE("0","0.052000"))</f>
        <v>5.1999999999999998E-2</v>
      </c>
      <c r="N269" s="8">
        <f>VALUE(CONCATENATE("0","0.000000"))</f>
        <v>0</v>
      </c>
      <c r="O269" s="7">
        <f>VALUE(CONCATENATE("0",0.052))+VALUE(CONCATENATE("0","0.000000"))-VALUE(CONCATENATE("0",0))-VALUE(CONCATENATE("0",0))-VALUE(CONCATENATE("0",0))-VALUE(CONCATENATE("0",0))-VALUE(CONCATENATE("0",0))-VALUE(CONCATENATE("0","0.052000"))</f>
        <v>0</v>
      </c>
      <c r="P269" s="6">
        <v>0</v>
      </c>
    </row>
    <row r="270" spans="1:16" ht="24.95" customHeight="1">
      <c r="A270" s="5" t="s">
        <v>167</v>
      </c>
      <c r="B270" s="10">
        <v>268</v>
      </c>
      <c r="C270" s="13" t="s">
        <v>166</v>
      </c>
      <c r="D270" s="9" t="s">
        <v>165</v>
      </c>
      <c r="E270" s="9" t="s">
        <v>66</v>
      </c>
      <c r="F270" s="9" t="s">
        <v>83</v>
      </c>
      <c r="G270" s="8">
        <f>VALUE(CONCATENATE("0",0.02))</f>
        <v>0.02</v>
      </c>
      <c r="H270" s="8">
        <f t="shared" si="49"/>
        <v>0</v>
      </c>
      <c r="I270" s="8">
        <f>VALUE(CONCATENATE("0",0.02))</f>
        <v>0.02</v>
      </c>
      <c r="J270" s="8">
        <f t="shared" si="51"/>
        <v>0</v>
      </c>
      <c r="K270" s="8">
        <f t="shared" si="50"/>
        <v>0</v>
      </c>
      <c r="L270" s="8">
        <f t="shared" si="48"/>
        <v>0</v>
      </c>
      <c r="M270" s="8">
        <f>VALUE(CONCATENATE("0","0.000000"))</f>
        <v>0</v>
      </c>
      <c r="N270" s="8">
        <f>VALUE(CONCATENATE("0","0.000000"))</f>
        <v>0</v>
      </c>
      <c r="O270" s="7">
        <f>VALUE(CONCATENATE("0",0.02))+VALUE(CONCATENATE("0","0.000000"))-VALUE(CONCATENATE("0",0))-VALUE(CONCATENATE("0",0))-VALUE(CONCATENATE("0",0.02))-VALUE(CONCATENATE("0",0))-VALUE(CONCATENATE("0",0))-VALUE(CONCATENATE("0","0.000000"))</f>
        <v>0</v>
      </c>
      <c r="P270" s="6">
        <v>1</v>
      </c>
    </row>
    <row r="271" spans="1:16" ht="29.1" customHeight="1">
      <c r="A271" s="5" t="s">
        <v>164</v>
      </c>
      <c r="B271" s="10">
        <v>269</v>
      </c>
      <c r="C271" s="13" t="s">
        <v>16</v>
      </c>
      <c r="D271" s="9" t="s">
        <v>163</v>
      </c>
      <c r="E271" s="9" t="s">
        <v>71</v>
      </c>
      <c r="F271" s="9" t="s">
        <v>80</v>
      </c>
      <c r="G271" s="8">
        <f>VALUE(CONCATENATE("0",0.02))</f>
        <v>0.02</v>
      </c>
      <c r="H271" s="8">
        <f t="shared" si="49"/>
        <v>0</v>
      </c>
      <c r="I271" s="8">
        <f t="shared" ref="I271:I288" si="52">VALUE(CONCATENATE("0",0))</f>
        <v>0</v>
      </c>
      <c r="J271" s="8">
        <f t="shared" si="51"/>
        <v>0</v>
      </c>
      <c r="K271" s="8">
        <f t="shared" si="50"/>
        <v>0</v>
      </c>
      <c r="L271" s="8">
        <f t="shared" si="48"/>
        <v>0</v>
      </c>
      <c r="M271" s="8">
        <f>VALUE(CONCATENATE("0","0.020000"))</f>
        <v>0.02</v>
      </c>
      <c r="N271" s="8">
        <f>VALUE(CONCATENATE("0","0.000000"))</f>
        <v>0</v>
      </c>
      <c r="O271" s="7">
        <f>VALUE(CONCATENATE("0",0.02))+VALUE(CONCATENATE("0","0.000000"))-VALUE(CONCATENATE("0",0))-VALUE(CONCATENATE("0",0))-VALUE(CONCATENATE("0",0))-VALUE(CONCATENATE("0",0))-VALUE(CONCATENATE("0",0))-VALUE(CONCATENATE("0","0.020000"))</f>
        <v>0</v>
      </c>
      <c r="P271" s="6">
        <v>0</v>
      </c>
    </row>
    <row r="272" spans="1:16" ht="29.1" customHeight="1">
      <c r="A272" s="5" t="s">
        <v>162</v>
      </c>
      <c r="B272" s="10">
        <v>270</v>
      </c>
      <c r="C272" s="13" t="s">
        <v>161</v>
      </c>
      <c r="D272" s="9" t="s">
        <v>160</v>
      </c>
      <c r="E272" s="9" t="s">
        <v>112</v>
      </c>
      <c r="F272" s="9" t="s">
        <v>83</v>
      </c>
      <c r="G272" s="8">
        <f>VALUE(CONCATENATE("0",0.01))</f>
        <v>0.01</v>
      </c>
      <c r="H272" s="8">
        <f t="shared" si="49"/>
        <v>0</v>
      </c>
      <c r="I272" s="8">
        <f t="shared" si="52"/>
        <v>0</v>
      </c>
      <c r="J272" s="8">
        <f t="shared" si="51"/>
        <v>0</v>
      </c>
      <c r="K272" s="8">
        <f t="shared" si="50"/>
        <v>0</v>
      </c>
      <c r="L272" s="8">
        <f t="shared" si="48"/>
        <v>0</v>
      </c>
      <c r="M272" s="8">
        <f>VALUE(CONCATENATE("0","0.010000"))</f>
        <v>0.01</v>
      </c>
      <c r="N272" s="8">
        <f>VALUE(CONCATENATE("0","0.000000"))</f>
        <v>0</v>
      </c>
      <c r="O272" s="7">
        <f>VALUE(CONCATENATE("0",0.01))+VALUE(CONCATENATE("0","0.000000"))-VALUE(CONCATENATE("0",0))-VALUE(CONCATENATE("0",0))-VALUE(CONCATENATE("0",0))-VALUE(CONCATENATE("0",0))-VALUE(CONCATENATE("0",0))-VALUE(CONCATENATE("0","0.010000"))</f>
        <v>0</v>
      </c>
      <c r="P272" s="6">
        <v>0</v>
      </c>
    </row>
    <row r="273" spans="1:16" ht="24.95" customHeight="1">
      <c r="A273" s="5" t="s">
        <v>159</v>
      </c>
      <c r="B273" s="10">
        <v>271</v>
      </c>
      <c r="C273" s="13" t="s">
        <v>158</v>
      </c>
      <c r="D273" s="9" t="s">
        <v>157</v>
      </c>
      <c r="E273" s="9" t="s">
        <v>73</v>
      </c>
      <c r="F273" s="9" t="s">
        <v>83</v>
      </c>
      <c r="G273" s="8">
        <f>VALUE(CONCATENATE("0",0.01))</f>
        <v>0.01</v>
      </c>
      <c r="H273" s="8">
        <f t="shared" si="49"/>
        <v>0</v>
      </c>
      <c r="I273" s="8">
        <f t="shared" si="52"/>
        <v>0</v>
      </c>
      <c r="J273" s="8">
        <f t="shared" si="51"/>
        <v>0</v>
      </c>
      <c r="K273" s="8">
        <f>VALUE(CONCATENATE("0",0.05))</f>
        <v>0.05</v>
      </c>
      <c r="L273" s="8">
        <f t="shared" si="48"/>
        <v>0</v>
      </c>
      <c r="M273" s="8">
        <f>VALUE(CONCATENATE("0","0.010000"))</f>
        <v>0.01</v>
      </c>
      <c r="N273" s="8">
        <f>VALUE(CONCATENATE("0","0.050000"))</f>
        <v>0.05</v>
      </c>
      <c r="O273" s="7">
        <f>VALUE(CONCATENATE("0",0.01))+VALUE(CONCATENATE("0","0.050000"))-VALUE(CONCATENATE("0",0))-VALUE(CONCATENATE("0",0))-VALUE(CONCATENATE("0",0))-VALUE(CONCATENATE("0",0.05))-VALUE(CONCATENATE("0",0))-VALUE(CONCATENATE("0","0.010000"))</f>
        <v>0</v>
      </c>
      <c r="P273" s="6">
        <v>0.83333333333333337</v>
      </c>
    </row>
    <row r="274" spans="1:16" ht="24.95" customHeight="1">
      <c r="A274" s="5" t="s">
        <v>156</v>
      </c>
      <c r="B274" s="10">
        <v>272</v>
      </c>
      <c r="C274" s="13" t="s">
        <v>155</v>
      </c>
      <c r="D274" s="9" t="s">
        <v>154</v>
      </c>
      <c r="E274" s="9" t="s">
        <v>68</v>
      </c>
      <c r="F274" s="9" t="s">
        <v>83</v>
      </c>
      <c r="G274" s="8">
        <f t="shared" ref="G274:G297" si="53">VALUE(CONCATENATE("0",0))</f>
        <v>0</v>
      </c>
      <c r="H274" s="8">
        <f t="shared" si="49"/>
        <v>0</v>
      </c>
      <c r="I274" s="8">
        <f t="shared" si="52"/>
        <v>0</v>
      </c>
      <c r="J274" s="8">
        <f t="shared" si="51"/>
        <v>0</v>
      </c>
      <c r="K274" s="8">
        <f t="shared" ref="K274:K297" si="54">VALUE(CONCATENATE("0",0))</f>
        <v>0</v>
      </c>
      <c r="L274" s="8">
        <f t="shared" si="48"/>
        <v>0</v>
      </c>
      <c r="M274" s="8">
        <f>VALUE(CONCATENATE("0","0.000000"))</f>
        <v>0</v>
      </c>
      <c r="N274" s="8">
        <f>VALUE(CONCATENATE("0","0.000000"))</f>
        <v>0</v>
      </c>
      <c r="O274" s="7">
        <f>VALUE(CONCATENATE("0",0))+VALUE(CONCATENATE("0","0.000000"))-VALUE(CONCATENATE("0",0))-VALUE(CONCATENATE("0",0))-VALUE(CONCATENATE("0",0))-VALUE(CONCATENATE("0",0))-VALUE(CONCATENATE("0",0))-VALUE(CONCATENATE("0","0.000000"))</f>
        <v>0</v>
      </c>
      <c r="P274" s="6">
        <v>0</v>
      </c>
    </row>
    <row r="275" spans="1:16" ht="29.1" customHeight="1">
      <c r="A275" s="5" t="s">
        <v>153</v>
      </c>
      <c r="B275" s="10">
        <v>273</v>
      </c>
      <c r="C275" s="13" t="s">
        <v>152</v>
      </c>
      <c r="D275" s="9" t="s">
        <v>151</v>
      </c>
      <c r="E275" s="9" t="s">
        <v>108</v>
      </c>
      <c r="F275" s="9" t="s">
        <v>80</v>
      </c>
      <c r="G275" s="8">
        <f t="shared" si="53"/>
        <v>0</v>
      </c>
      <c r="H275" s="8">
        <f t="shared" si="49"/>
        <v>0</v>
      </c>
      <c r="I275" s="8">
        <f t="shared" si="52"/>
        <v>0</v>
      </c>
      <c r="J275" s="8">
        <f t="shared" si="51"/>
        <v>0</v>
      </c>
      <c r="K275" s="8">
        <f t="shared" si="54"/>
        <v>0</v>
      </c>
      <c r="L275" s="8">
        <f t="shared" si="48"/>
        <v>0</v>
      </c>
      <c r="M275" s="8">
        <f>VALUE(CONCATENATE("0","0.000000"))</f>
        <v>0</v>
      </c>
      <c r="N275" s="8">
        <f>VALUE(CONCATENATE("0","0.000000"))</f>
        <v>0</v>
      </c>
      <c r="O275" s="7">
        <f>VALUE(CONCATENATE("0",0))+VALUE(CONCATENATE("0","0.000000"))-VALUE(CONCATENATE("0",0))-VALUE(CONCATENATE("0",0))-VALUE(CONCATENATE("0",0))-VALUE(CONCATENATE("0",0))-VALUE(CONCATENATE("0",0))-VALUE(CONCATENATE("0","0.000000"))</f>
        <v>0</v>
      </c>
      <c r="P275" s="6">
        <v>0</v>
      </c>
    </row>
    <row r="276" spans="1:16" ht="24.95" customHeight="1">
      <c r="A276" s="5" t="s">
        <v>150</v>
      </c>
      <c r="B276" s="10">
        <v>274</v>
      </c>
      <c r="C276" s="13" t="s">
        <v>149</v>
      </c>
      <c r="D276" s="9" t="s">
        <v>148</v>
      </c>
      <c r="E276" s="9" t="s">
        <v>67</v>
      </c>
      <c r="F276" s="9" t="s">
        <v>147</v>
      </c>
      <c r="G276" s="8">
        <f t="shared" si="53"/>
        <v>0</v>
      </c>
      <c r="H276" s="8">
        <f t="shared" si="49"/>
        <v>0</v>
      </c>
      <c r="I276" s="8">
        <f t="shared" si="52"/>
        <v>0</v>
      </c>
      <c r="J276" s="8">
        <f t="shared" si="51"/>
        <v>0</v>
      </c>
      <c r="K276" s="8">
        <f t="shared" si="54"/>
        <v>0</v>
      </c>
      <c r="L276" s="8">
        <f t="shared" si="48"/>
        <v>0</v>
      </c>
      <c r="M276" s="8">
        <f>VALUE(CONCATENATE("0","35.100000"))</f>
        <v>35.1</v>
      </c>
      <c r="N276" s="8">
        <f>VALUE(CONCATENATE("0","35.100000"))</f>
        <v>35.1</v>
      </c>
      <c r="O276" s="7">
        <f>VALUE(CONCATENATE("0",0))+VALUE(CONCATENATE("0","35.100000"))-VALUE(CONCATENATE("0",0))-VALUE(CONCATENATE("0",0))-VALUE(CONCATENATE("0",0))-VALUE(CONCATENATE("0",0))-VALUE(CONCATENATE("0",0))-VALUE(CONCATENATE("0","35.100000"))</f>
        <v>0</v>
      </c>
      <c r="P276" s="6">
        <v>0</v>
      </c>
    </row>
    <row r="277" spans="1:16" ht="29.1" customHeight="1">
      <c r="A277" s="5" t="s">
        <v>146</v>
      </c>
      <c r="B277" s="10">
        <v>275</v>
      </c>
      <c r="C277" s="13" t="s">
        <v>145</v>
      </c>
      <c r="D277" s="9" t="s">
        <v>144</v>
      </c>
      <c r="E277" s="9" t="s">
        <v>73</v>
      </c>
      <c r="F277" s="9" t="s">
        <v>89</v>
      </c>
      <c r="G277" s="8">
        <f t="shared" si="53"/>
        <v>0</v>
      </c>
      <c r="H277" s="8">
        <f t="shared" si="49"/>
        <v>0</v>
      </c>
      <c r="I277" s="8">
        <f t="shared" si="52"/>
        <v>0</v>
      </c>
      <c r="J277" s="8">
        <f t="shared" si="51"/>
        <v>0</v>
      </c>
      <c r="K277" s="8">
        <f t="shared" si="54"/>
        <v>0</v>
      </c>
      <c r="L277" s="8">
        <f t="shared" si="48"/>
        <v>0</v>
      </c>
      <c r="M277" s="8">
        <f>VALUE(CONCATENATE("0","0.000000"))</f>
        <v>0</v>
      </c>
      <c r="N277" s="8">
        <f>VALUE(CONCATENATE("0","0.000000"))</f>
        <v>0</v>
      </c>
      <c r="O277" s="7">
        <f>VALUE(CONCATENATE("0",0))+VALUE(CONCATENATE("0","0.000000"))-VALUE(CONCATENATE("0",0))-VALUE(CONCATENATE("0",0))-VALUE(CONCATENATE("0",0))-VALUE(CONCATENATE("0",0))-VALUE(CONCATENATE("0",0))-VALUE(CONCATENATE("0","0.000000"))</f>
        <v>0</v>
      </c>
      <c r="P277" s="6">
        <v>0</v>
      </c>
    </row>
    <row r="278" spans="1:16" ht="29.1" customHeight="1">
      <c r="A278" s="5" t="s">
        <v>143</v>
      </c>
      <c r="B278" s="10">
        <v>276</v>
      </c>
      <c r="C278" s="13" t="s">
        <v>142</v>
      </c>
      <c r="D278" s="9" t="s">
        <v>141</v>
      </c>
      <c r="E278" s="9" t="s">
        <v>65</v>
      </c>
      <c r="F278" s="9" t="s">
        <v>140</v>
      </c>
      <c r="G278" s="8">
        <f t="shared" si="53"/>
        <v>0</v>
      </c>
      <c r="H278" s="8">
        <f t="shared" si="49"/>
        <v>0</v>
      </c>
      <c r="I278" s="8">
        <f t="shared" si="52"/>
        <v>0</v>
      </c>
      <c r="J278" s="8">
        <f t="shared" si="51"/>
        <v>0</v>
      </c>
      <c r="K278" s="8">
        <f t="shared" si="54"/>
        <v>0</v>
      </c>
      <c r="L278" s="8">
        <f>VALUE(CONCATENATE("0",109.08))</f>
        <v>109.08</v>
      </c>
      <c r="M278" s="8">
        <f>VALUE(CONCATENATE("0","165.100000"))</f>
        <v>165.1</v>
      </c>
      <c r="N278" s="8">
        <f>VALUE(CONCATENATE("0","274.180000"))</f>
        <v>274.18</v>
      </c>
      <c r="O278" s="7">
        <f>VALUE(CONCATENATE("0",0))+VALUE(CONCATENATE("0","274.180000"))-VALUE(CONCATENATE("0",0))-VALUE(CONCATENATE("0",0))-VALUE(CONCATENATE("0",0))-VALUE(CONCATENATE("0",0))-VALUE(CONCATENATE("0",109.08))-VALUE(CONCATENATE("0","165.100000"))</f>
        <v>0</v>
      </c>
      <c r="P278" s="6">
        <v>0</v>
      </c>
    </row>
    <row r="279" spans="1:16" ht="24.95" customHeight="1">
      <c r="A279" s="5" t="s">
        <v>139</v>
      </c>
      <c r="B279" s="10">
        <v>277</v>
      </c>
      <c r="C279" s="13" t="s">
        <v>138</v>
      </c>
      <c r="D279" s="9" t="s">
        <v>137</v>
      </c>
      <c r="E279" s="9" t="s">
        <v>66</v>
      </c>
      <c r="F279" s="9" t="s">
        <v>83</v>
      </c>
      <c r="G279" s="8">
        <f t="shared" si="53"/>
        <v>0</v>
      </c>
      <c r="H279" s="8">
        <f t="shared" si="49"/>
        <v>0</v>
      </c>
      <c r="I279" s="8">
        <f t="shared" si="52"/>
        <v>0</v>
      </c>
      <c r="J279" s="8">
        <f t="shared" si="51"/>
        <v>0</v>
      </c>
      <c r="K279" s="8">
        <f t="shared" si="54"/>
        <v>0</v>
      </c>
      <c r="L279" s="8">
        <f t="shared" ref="L279:L297" si="55">VALUE(CONCATENATE("0",0))</f>
        <v>0</v>
      </c>
      <c r="M279" s="8">
        <f t="shared" ref="M279:N288" si="56">VALUE(CONCATENATE("0","0.000000"))</f>
        <v>0</v>
      </c>
      <c r="N279" s="8">
        <f t="shared" si="56"/>
        <v>0</v>
      </c>
      <c r="O279" s="7">
        <f t="shared" ref="O279:O288" si="57">VALUE(CONCATENATE("0",0))+VALUE(CONCATENATE("0","0.000000"))-VALUE(CONCATENATE("0",0))-VALUE(CONCATENATE("0",0))-VALUE(CONCATENATE("0",0))-VALUE(CONCATENATE("0",0))-VALUE(CONCATENATE("0",0))-VALUE(CONCATENATE("0","0.000000"))</f>
        <v>0</v>
      </c>
      <c r="P279" s="6">
        <v>0</v>
      </c>
    </row>
    <row r="280" spans="1:16" ht="24.95" customHeight="1">
      <c r="A280" s="5" t="s">
        <v>136</v>
      </c>
      <c r="B280" s="10">
        <v>278</v>
      </c>
      <c r="C280" s="13" t="s">
        <v>135</v>
      </c>
      <c r="D280" s="9" t="s">
        <v>134</v>
      </c>
      <c r="E280" s="9" t="s">
        <v>66</v>
      </c>
      <c r="F280" s="9" t="s">
        <v>83</v>
      </c>
      <c r="G280" s="8">
        <f t="shared" si="53"/>
        <v>0</v>
      </c>
      <c r="H280" s="8">
        <f t="shared" si="49"/>
        <v>0</v>
      </c>
      <c r="I280" s="8">
        <f t="shared" si="52"/>
        <v>0</v>
      </c>
      <c r="J280" s="8">
        <f t="shared" si="51"/>
        <v>0</v>
      </c>
      <c r="K280" s="8">
        <f t="shared" si="54"/>
        <v>0</v>
      </c>
      <c r="L280" s="8">
        <f t="shared" si="55"/>
        <v>0</v>
      </c>
      <c r="M280" s="8">
        <f t="shared" si="56"/>
        <v>0</v>
      </c>
      <c r="N280" s="8">
        <f t="shared" si="56"/>
        <v>0</v>
      </c>
      <c r="O280" s="7">
        <f t="shared" si="57"/>
        <v>0</v>
      </c>
      <c r="P280" s="6">
        <v>0</v>
      </c>
    </row>
    <row r="281" spans="1:16" ht="29.1" customHeight="1">
      <c r="A281" s="5" t="s">
        <v>133</v>
      </c>
      <c r="B281" s="10">
        <v>279</v>
      </c>
      <c r="C281" s="13" t="s">
        <v>132</v>
      </c>
      <c r="D281" s="9" t="s">
        <v>131</v>
      </c>
      <c r="E281" s="9" t="s">
        <v>69</v>
      </c>
      <c r="F281" s="9" t="s">
        <v>83</v>
      </c>
      <c r="G281" s="8">
        <f t="shared" si="53"/>
        <v>0</v>
      </c>
      <c r="H281" s="8">
        <f t="shared" si="49"/>
        <v>0</v>
      </c>
      <c r="I281" s="8">
        <f t="shared" si="52"/>
        <v>0</v>
      </c>
      <c r="J281" s="8">
        <f t="shared" si="51"/>
        <v>0</v>
      </c>
      <c r="K281" s="8">
        <f t="shared" si="54"/>
        <v>0</v>
      </c>
      <c r="L281" s="8">
        <f t="shared" si="55"/>
        <v>0</v>
      </c>
      <c r="M281" s="8">
        <f t="shared" si="56"/>
        <v>0</v>
      </c>
      <c r="N281" s="8">
        <f t="shared" si="56"/>
        <v>0</v>
      </c>
      <c r="O281" s="7">
        <f t="shared" si="57"/>
        <v>0</v>
      </c>
      <c r="P281" s="6">
        <v>0</v>
      </c>
    </row>
    <row r="282" spans="1:16" ht="29.1" customHeight="1">
      <c r="A282" s="5" t="s">
        <v>130</v>
      </c>
      <c r="B282" s="10">
        <v>280</v>
      </c>
      <c r="C282" s="13" t="s">
        <v>129</v>
      </c>
      <c r="D282" s="9" t="s">
        <v>128</v>
      </c>
      <c r="E282" s="9" t="s">
        <v>69</v>
      </c>
      <c r="F282" s="9" t="s">
        <v>89</v>
      </c>
      <c r="G282" s="8">
        <f t="shared" si="53"/>
        <v>0</v>
      </c>
      <c r="H282" s="8">
        <f t="shared" si="49"/>
        <v>0</v>
      </c>
      <c r="I282" s="8">
        <f t="shared" si="52"/>
        <v>0</v>
      </c>
      <c r="J282" s="8">
        <f t="shared" si="51"/>
        <v>0</v>
      </c>
      <c r="K282" s="8">
        <f t="shared" si="54"/>
        <v>0</v>
      </c>
      <c r="L282" s="8">
        <f t="shared" si="55"/>
        <v>0</v>
      </c>
      <c r="M282" s="8">
        <f t="shared" si="56"/>
        <v>0</v>
      </c>
      <c r="N282" s="8">
        <f t="shared" si="56"/>
        <v>0</v>
      </c>
      <c r="O282" s="7">
        <f t="shared" si="57"/>
        <v>0</v>
      </c>
      <c r="P282" s="6">
        <v>0</v>
      </c>
    </row>
    <row r="283" spans="1:16" ht="24.95" customHeight="1">
      <c r="A283" s="5" t="s">
        <v>127</v>
      </c>
      <c r="B283" s="10">
        <v>281</v>
      </c>
      <c r="C283" s="13" t="s">
        <v>126</v>
      </c>
      <c r="D283" s="9" t="s">
        <v>125</v>
      </c>
      <c r="E283" s="9" t="s">
        <v>65</v>
      </c>
      <c r="F283" s="9" t="s">
        <v>83</v>
      </c>
      <c r="G283" s="8">
        <f t="shared" si="53"/>
        <v>0</v>
      </c>
      <c r="H283" s="8">
        <f t="shared" si="49"/>
        <v>0</v>
      </c>
      <c r="I283" s="8">
        <f t="shared" si="52"/>
        <v>0</v>
      </c>
      <c r="J283" s="8">
        <f t="shared" si="51"/>
        <v>0</v>
      </c>
      <c r="K283" s="8">
        <f t="shared" si="54"/>
        <v>0</v>
      </c>
      <c r="L283" s="8">
        <f t="shared" si="55"/>
        <v>0</v>
      </c>
      <c r="M283" s="8">
        <f t="shared" si="56"/>
        <v>0</v>
      </c>
      <c r="N283" s="8">
        <f t="shared" si="56"/>
        <v>0</v>
      </c>
      <c r="O283" s="7">
        <f t="shared" si="57"/>
        <v>0</v>
      </c>
      <c r="P283" s="6">
        <v>0</v>
      </c>
    </row>
    <row r="284" spans="1:16" ht="24.95" customHeight="1">
      <c r="A284" s="5" t="s">
        <v>124</v>
      </c>
      <c r="B284" s="10">
        <v>282</v>
      </c>
      <c r="C284" s="13" t="s">
        <v>19</v>
      </c>
      <c r="D284" s="9" t="s">
        <v>123</v>
      </c>
      <c r="E284" s="9" t="s">
        <v>68</v>
      </c>
      <c r="F284" s="9" t="s">
        <v>83</v>
      </c>
      <c r="G284" s="8">
        <f t="shared" si="53"/>
        <v>0</v>
      </c>
      <c r="H284" s="8">
        <f t="shared" si="49"/>
        <v>0</v>
      </c>
      <c r="I284" s="8">
        <f t="shared" si="52"/>
        <v>0</v>
      </c>
      <c r="J284" s="8">
        <f t="shared" si="51"/>
        <v>0</v>
      </c>
      <c r="K284" s="8">
        <f t="shared" si="54"/>
        <v>0</v>
      </c>
      <c r="L284" s="8">
        <f t="shared" si="55"/>
        <v>0</v>
      </c>
      <c r="M284" s="8">
        <f t="shared" si="56"/>
        <v>0</v>
      </c>
      <c r="N284" s="8">
        <f t="shared" si="56"/>
        <v>0</v>
      </c>
      <c r="O284" s="7">
        <f t="shared" si="57"/>
        <v>0</v>
      </c>
      <c r="P284" s="6">
        <v>0</v>
      </c>
    </row>
    <row r="285" spans="1:16" ht="24.95" customHeight="1">
      <c r="A285" s="5" t="s">
        <v>122</v>
      </c>
      <c r="B285" s="10">
        <v>283</v>
      </c>
      <c r="C285" s="13" t="s">
        <v>121</v>
      </c>
      <c r="D285" s="9" t="s">
        <v>120</v>
      </c>
      <c r="E285" s="9" t="s">
        <v>71</v>
      </c>
      <c r="F285" s="9" t="s">
        <v>119</v>
      </c>
      <c r="G285" s="8">
        <f t="shared" si="53"/>
        <v>0</v>
      </c>
      <c r="H285" s="8">
        <f t="shared" si="49"/>
        <v>0</v>
      </c>
      <c r="I285" s="8">
        <f t="shared" si="52"/>
        <v>0</v>
      </c>
      <c r="J285" s="8">
        <f t="shared" si="51"/>
        <v>0</v>
      </c>
      <c r="K285" s="8">
        <f t="shared" si="54"/>
        <v>0</v>
      </c>
      <c r="L285" s="8">
        <f t="shared" si="55"/>
        <v>0</v>
      </c>
      <c r="M285" s="8">
        <f t="shared" si="56"/>
        <v>0</v>
      </c>
      <c r="N285" s="8">
        <f t="shared" si="56"/>
        <v>0</v>
      </c>
      <c r="O285" s="7">
        <f t="shared" si="57"/>
        <v>0</v>
      </c>
      <c r="P285" s="6">
        <v>0</v>
      </c>
    </row>
    <row r="286" spans="1:16" ht="29.1" customHeight="1">
      <c r="A286" s="5" t="s">
        <v>118</v>
      </c>
      <c r="B286" s="10">
        <v>284</v>
      </c>
      <c r="C286" s="13" t="s">
        <v>117</v>
      </c>
      <c r="D286" s="9" t="s">
        <v>116</v>
      </c>
      <c r="E286" s="9" t="s">
        <v>73</v>
      </c>
      <c r="F286" s="9" t="s">
        <v>89</v>
      </c>
      <c r="G286" s="8">
        <f t="shared" si="53"/>
        <v>0</v>
      </c>
      <c r="H286" s="8">
        <f t="shared" si="49"/>
        <v>0</v>
      </c>
      <c r="I286" s="8">
        <f t="shared" si="52"/>
        <v>0</v>
      </c>
      <c r="J286" s="8">
        <f t="shared" si="51"/>
        <v>0</v>
      </c>
      <c r="K286" s="8">
        <f t="shared" si="54"/>
        <v>0</v>
      </c>
      <c r="L286" s="8">
        <f t="shared" si="55"/>
        <v>0</v>
      </c>
      <c r="M286" s="8">
        <f t="shared" si="56"/>
        <v>0</v>
      </c>
      <c r="N286" s="8">
        <f t="shared" si="56"/>
        <v>0</v>
      </c>
      <c r="O286" s="7">
        <f t="shared" si="57"/>
        <v>0</v>
      </c>
      <c r="P286" s="6">
        <v>0</v>
      </c>
    </row>
    <row r="287" spans="1:16" ht="29.1" customHeight="1">
      <c r="A287" s="5" t="s">
        <v>115</v>
      </c>
      <c r="B287" s="10">
        <v>285</v>
      </c>
      <c r="C287" s="13" t="s">
        <v>114</v>
      </c>
      <c r="D287" s="9" t="s">
        <v>113</v>
      </c>
      <c r="E287" s="9" t="s">
        <v>112</v>
      </c>
      <c r="F287" s="9" t="s">
        <v>83</v>
      </c>
      <c r="G287" s="8">
        <f t="shared" si="53"/>
        <v>0</v>
      </c>
      <c r="H287" s="8">
        <f t="shared" si="49"/>
        <v>0</v>
      </c>
      <c r="I287" s="8">
        <f t="shared" si="52"/>
        <v>0</v>
      </c>
      <c r="J287" s="8">
        <f t="shared" si="51"/>
        <v>0</v>
      </c>
      <c r="K287" s="8">
        <f t="shared" si="54"/>
        <v>0</v>
      </c>
      <c r="L287" s="8">
        <f t="shared" si="55"/>
        <v>0</v>
      </c>
      <c r="M287" s="8">
        <f t="shared" si="56"/>
        <v>0</v>
      </c>
      <c r="N287" s="8">
        <f t="shared" si="56"/>
        <v>0</v>
      </c>
      <c r="O287" s="7">
        <f t="shared" si="57"/>
        <v>0</v>
      </c>
      <c r="P287" s="6">
        <v>0</v>
      </c>
    </row>
    <row r="288" spans="1:16" ht="24.95" customHeight="1">
      <c r="A288" s="5" t="s">
        <v>111</v>
      </c>
      <c r="B288" s="10">
        <v>286</v>
      </c>
      <c r="C288" s="13" t="s">
        <v>110</v>
      </c>
      <c r="D288" s="9" t="s">
        <v>109</v>
      </c>
      <c r="E288" s="9" t="s">
        <v>108</v>
      </c>
      <c r="F288" s="9" t="s">
        <v>83</v>
      </c>
      <c r="G288" s="8">
        <f t="shared" si="53"/>
        <v>0</v>
      </c>
      <c r="H288" s="8">
        <f t="shared" si="49"/>
        <v>0</v>
      </c>
      <c r="I288" s="8">
        <f t="shared" si="52"/>
        <v>0</v>
      </c>
      <c r="J288" s="8">
        <f t="shared" si="51"/>
        <v>0</v>
      </c>
      <c r="K288" s="8">
        <f t="shared" si="54"/>
        <v>0</v>
      </c>
      <c r="L288" s="8">
        <f t="shared" si="55"/>
        <v>0</v>
      </c>
      <c r="M288" s="8">
        <f t="shared" si="56"/>
        <v>0</v>
      </c>
      <c r="N288" s="8">
        <f t="shared" si="56"/>
        <v>0</v>
      </c>
      <c r="O288" s="7">
        <f t="shared" si="57"/>
        <v>0</v>
      </c>
      <c r="P288" s="6">
        <v>0</v>
      </c>
    </row>
    <row r="289" spans="1:16" ht="29.1" customHeight="1">
      <c r="A289" s="5" t="s">
        <v>107</v>
      </c>
      <c r="B289" s="10">
        <v>287</v>
      </c>
      <c r="C289" s="13" t="s">
        <v>106</v>
      </c>
      <c r="D289" s="9" t="s">
        <v>105</v>
      </c>
      <c r="E289" s="9" t="s">
        <v>65</v>
      </c>
      <c r="F289" s="9" t="s">
        <v>83</v>
      </c>
      <c r="G289" s="8">
        <f t="shared" si="53"/>
        <v>0</v>
      </c>
      <c r="H289" s="8">
        <f t="shared" si="49"/>
        <v>0</v>
      </c>
      <c r="I289" s="8">
        <f>VALUE(CONCATENATE("0",6.9))</f>
        <v>6.9</v>
      </c>
      <c r="J289" s="8">
        <f t="shared" si="51"/>
        <v>0</v>
      </c>
      <c r="K289" s="8">
        <f t="shared" si="54"/>
        <v>0</v>
      </c>
      <c r="L289" s="8">
        <f t="shared" si="55"/>
        <v>0</v>
      </c>
      <c r="M289" s="8">
        <f t="shared" ref="M289:M297" si="58">VALUE(CONCATENATE("0","0.000000"))</f>
        <v>0</v>
      </c>
      <c r="N289" s="8">
        <f>VALUE(CONCATENATE("0","6.900000"))</f>
        <v>6.9</v>
      </c>
      <c r="O289" s="7">
        <f>VALUE(CONCATENATE("0",0))+VALUE(CONCATENATE("0","6.900000"))-VALUE(CONCATENATE("0",0))-VALUE(CONCATENATE("0",0))-VALUE(CONCATENATE("0",6.9))-VALUE(CONCATENATE("0",0))-VALUE(CONCATENATE("0",0))-VALUE(CONCATENATE("0","0.000000"))</f>
        <v>0</v>
      </c>
      <c r="P289" s="6">
        <v>1</v>
      </c>
    </row>
    <row r="290" spans="1:16" ht="29.1" customHeight="1">
      <c r="A290" s="5" t="s">
        <v>104</v>
      </c>
      <c r="B290" s="10">
        <v>288</v>
      </c>
      <c r="C290" s="13" t="s">
        <v>103</v>
      </c>
      <c r="D290" s="9" t="s">
        <v>102</v>
      </c>
      <c r="E290" s="9" t="s">
        <v>69</v>
      </c>
      <c r="F290" s="9" t="s">
        <v>89</v>
      </c>
      <c r="G290" s="8">
        <f t="shared" si="53"/>
        <v>0</v>
      </c>
      <c r="H290" s="8">
        <f t="shared" si="49"/>
        <v>0</v>
      </c>
      <c r="I290" s="8">
        <f t="shared" ref="I290:I297" si="59">VALUE(CONCATENATE("0",0))</f>
        <v>0</v>
      </c>
      <c r="J290" s="8">
        <f t="shared" si="51"/>
        <v>0</v>
      </c>
      <c r="K290" s="8">
        <f t="shared" si="54"/>
        <v>0</v>
      </c>
      <c r="L290" s="8">
        <f t="shared" si="55"/>
        <v>0</v>
      </c>
      <c r="M290" s="8">
        <f t="shared" si="58"/>
        <v>0</v>
      </c>
      <c r="N290" s="8">
        <f t="shared" ref="N290:N297" si="60">VALUE(CONCATENATE("0","0.000000"))</f>
        <v>0</v>
      </c>
      <c r="O290" s="7">
        <f t="shared" ref="O290:O297" si="61">VALUE(CONCATENATE("0",0))+VALUE(CONCATENATE("0","0.000000"))-VALUE(CONCATENATE("0",0))-VALUE(CONCATENATE("0",0))-VALUE(CONCATENATE("0",0))-VALUE(CONCATENATE("0",0))-VALUE(CONCATENATE("0",0))-VALUE(CONCATENATE("0","0.000000"))</f>
        <v>0</v>
      </c>
      <c r="P290" s="6">
        <v>0</v>
      </c>
    </row>
    <row r="291" spans="1:16" ht="29.1" customHeight="1">
      <c r="A291" s="5" t="s">
        <v>101</v>
      </c>
      <c r="B291" s="10">
        <v>289</v>
      </c>
      <c r="C291" s="13" t="s">
        <v>25</v>
      </c>
      <c r="D291" s="9" t="s">
        <v>100</v>
      </c>
      <c r="E291" s="9" t="s">
        <v>66</v>
      </c>
      <c r="F291" s="9" t="s">
        <v>80</v>
      </c>
      <c r="G291" s="8">
        <f t="shared" si="53"/>
        <v>0</v>
      </c>
      <c r="H291" s="8">
        <f t="shared" si="49"/>
        <v>0</v>
      </c>
      <c r="I291" s="8">
        <f t="shared" si="59"/>
        <v>0</v>
      </c>
      <c r="J291" s="8">
        <f t="shared" si="51"/>
        <v>0</v>
      </c>
      <c r="K291" s="8">
        <f t="shared" si="54"/>
        <v>0</v>
      </c>
      <c r="L291" s="8">
        <f t="shared" si="55"/>
        <v>0</v>
      </c>
      <c r="M291" s="8">
        <f t="shared" si="58"/>
        <v>0</v>
      </c>
      <c r="N291" s="8">
        <f t="shared" si="60"/>
        <v>0</v>
      </c>
      <c r="O291" s="7">
        <f t="shared" si="61"/>
        <v>0</v>
      </c>
      <c r="P291" s="6">
        <v>0</v>
      </c>
    </row>
    <row r="292" spans="1:16" ht="24.95" customHeight="1">
      <c r="A292" s="5" t="s">
        <v>99</v>
      </c>
      <c r="B292" s="10">
        <v>290</v>
      </c>
      <c r="C292" s="13" t="s">
        <v>98</v>
      </c>
      <c r="D292" s="9" t="s">
        <v>97</v>
      </c>
      <c r="E292" s="9" t="s">
        <v>96</v>
      </c>
      <c r="F292" s="9" t="s">
        <v>83</v>
      </c>
      <c r="G292" s="8">
        <f t="shared" si="53"/>
        <v>0</v>
      </c>
      <c r="H292" s="8">
        <f t="shared" si="49"/>
        <v>0</v>
      </c>
      <c r="I292" s="8">
        <f t="shared" si="59"/>
        <v>0</v>
      </c>
      <c r="J292" s="8">
        <f t="shared" si="51"/>
        <v>0</v>
      </c>
      <c r="K292" s="8">
        <f t="shared" si="54"/>
        <v>0</v>
      </c>
      <c r="L292" s="8">
        <f t="shared" si="55"/>
        <v>0</v>
      </c>
      <c r="M292" s="8">
        <f t="shared" si="58"/>
        <v>0</v>
      </c>
      <c r="N292" s="8">
        <f t="shared" si="60"/>
        <v>0</v>
      </c>
      <c r="O292" s="7">
        <f t="shared" si="61"/>
        <v>0</v>
      </c>
      <c r="P292" s="6">
        <v>0</v>
      </c>
    </row>
    <row r="293" spans="1:16" ht="29.1" customHeight="1">
      <c r="A293" s="5" t="s">
        <v>95</v>
      </c>
      <c r="B293" s="10">
        <v>291</v>
      </c>
      <c r="C293" s="13" t="s">
        <v>94</v>
      </c>
      <c r="D293" s="9" t="s">
        <v>93</v>
      </c>
      <c r="E293" s="9" t="s">
        <v>69</v>
      </c>
      <c r="F293" s="9" t="s">
        <v>89</v>
      </c>
      <c r="G293" s="8">
        <f t="shared" si="53"/>
        <v>0</v>
      </c>
      <c r="H293" s="8">
        <f t="shared" si="49"/>
        <v>0</v>
      </c>
      <c r="I293" s="8">
        <f t="shared" si="59"/>
        <v>0</v>
      </c>
      <c r="J293" s="8">
        <f t="shared" si="51"/>
        <v>0</v>
      </c>
      <c r="K293" s="8">
        <f t="shared" si="54"/>
        <v>0</v>
      </c>
      <c r="L293" s="8">
        <f t="shared" si="55"/>
        <v>0</v>
      </c>
      <c r="M293" s="8">
        <f t="shared" si="58"/>
        <v>0</v>
      </c>
      <c r="N293" s="8">
        <f t="shared" si="60"/>
        <v>0</v>
      </c>
      <c r="O293" s="7">
        <f t="shared" si="61"/>
        <v>0</v>
      </c>
      <c r="P293" s="6">
        <v>0</v>
      </c>
    </row>
    <row r="294" spans="1:16" ht="29.1" customHeight="1">
      <c r="A294" s="5" t="s">
        <v>92</v>
      </c>
      <c r="B294" s="10">
        <v>292</v>
      </c>
      <c r="C294" s="13" t="s">
        <v>91</v>
      </c>
      <c r="D294" s="9" t="s">
        <v>90</v>
      </c>
      <c r="E294" s="9" t="s">
        <v>66</v>
      </c>
      <c r="F294" s="9" t="s">
        <v>89</v>
      </c>
      <c r="G294" s="8">
        <f t="shared" si="53"/>
        <v>0</v>
      </c>
      <c r="H294" s="8">
        <f t="shared" si="49"/>
        <v>0</v>
      </c>
      <c r="I294" s="8">
        <f t="shared" si="59"/>
        <v>0</v>
      </c>
      <c r="J294" s="8">
        <f t="shared" si="51"/>
        <v>0</v>
      </c>
      <c r="K294" s="8">
        <f t="shared" si="54"/>
        <v>0</v>
      </c>
      <c r="L294" s="8">
        <f t="shared" si="55"/>
        <v>0</v>
      </c>
      <c r="M294" s="8">
        <f t="shared" si="58"/>
        <v>0</v>
      </c>
      <c r="N294" s="8">
        <f t="shared" si="60"/>
        <v>0</v>
      </c>
      <c r="O294" s="7">
        <f t="shared" si="61"/>
        <v>0</v>
      </c>
      <c r="P294" s="6">
        <v>0</v>
      </c>
    </row>
    <row r="295" spans="1:16" ht="29.1" customHeight="1">
      <c r="A295" s="5" t="s">
        <v>88</v>
      </c>
      <c r="B295" s="10">
        <v>293</v>
      </c>
      <c r="C295" s="13" t="s">
        <v>87</v>
      </c>
      <c r="D295" s="9" t="s">
        <v>86</v>
      </c>
      <c r="E295" s="9" t="s">
        <v>65</v>
      </c>
      <c r="F295" s="9" t="s">
        <v>83</v>
      </c>
      <c r="G295" s="8">
        <f t="shared" si="53"/>
        <v>0</v>
      </c>
      <c r="H295" s="8">
        <f t="shared" si="49"/>
        <v>0</v>
      </c>
      <c r="I295" s="8">
        <f t="shared" si="59"/>
        <v>0</v>
      </c>
      <c r="J295" s="8">
        <f t="shared" si="51"/>
        <v>0</v>
      </c>
      <c r="K295" s="8">
        <f t="shared" si="54"/>
        <v>0</v>
      </c>
      <c r="L295" s="8">
        <f t="shared" si="55"/>
        <v>0</v>
      </c>
      <c r="M295" s="8">
        <f t="shared" si="58"/>
        <v>0</v>
      </c>
      <c r="N295" s="8">
        <f t="shared" si="60"/>
        <v>0</v>
      </c>
      <c r="O295" s="7">
        <f t="shared" si="61"/>
        <v>0</v>
      </c>
      <c r="P295" s="6">
        <v>0</v>
      </c>
    </row>
    <row r="296" spans="1:16" ht="29.1" customHeight="1">
      <c r="A296" s="5" t="s">
        <v>85</v>
      </c>
      <c r="B296" s="10">
        <v>294</v>
      </c>
      <c r="C296" s="13" t="s">
        <v>75</v>
      </c>
      <c r="D296" s="9" t="s">
        <v>84</v>
      </c>
      <c r="E296" s="9" t="s">
        <v>71</v>
      </c>
      <c r="F296" s="9" t="s">
        <v>83</v>
      </c>
      <c r="G296" s="8">
        <f t="shared" si="53"/>
        <v>0</v>
      </c>
      <c r="H296" s="8">
        <f t="shared" si="49"/>
        <v>0</v>
      </c>
      <c r="I296" s="8">
        <f t="shared" si="59"/>
        <v>0</v>
      </c>
      <c r="J296" s="8">
        <f t="shared" si="51"/>
        <v>0</v>
      </c>
      <c r="K296" s="8">
        <f t="shared" si="54"/>
        <v>0</v>
      </c>
      <c r="L296" s="8">
        <f t="shared" si="55"/>
        <v>0</v>
      </c>
      <c r="M296" s="8">
        <f t="shared" si="58"/>
        <v>0</v>
      </c>
      <c r="N296" s="8">
        <f t="shared" si="60"/>
        <v>0</v>
      </c>
      <c r="O296" s="7">
        <f t="shared" si="61"/>
        <v>0</v>
      </c>
      <c r="P296" s="6">
        <v>0</v>
      </c>
    </row>
    <row r="297" spans="1:16" ht="29.1" customHeight="1">
      <c r="A297" s="5" t="s">
        <v>82</v>
      </c>
      <c r="B297" s="10">
        <v>295</v>
      </c>
      <c r="C297" s="13" t="s">
        <v>24</v>
      </c>
      <c r="D297" s="9" t="s">
        <v>81</v>
      </c>
      <c r="E297" s="9" t="s">
        <v>66</v>
      </c>
      <c r="F297" s="9" t="s">
        <v>80</v>
      </c>
      <c r="G297" s="8">
        <f t="shared" si="53"/>
        <v>0</v>
      </c>
      <c r="H297" s="8">
        <f t="shared" si="49"/>
        <v>0</v>
      </c>
      <c r="I297" s="8">
        <f t="shared" si="59"/>
        <v>0</v>
      </c>
      <c r="J297" s="8">
        <f t="shared" si="51"/>
        <v>0</v>
      </c>
      <c r="K297" s="8">
        <f t="shared" si="54"/>
        <v>0</v>
      </c>
      <c r="L297" s="8">
        <f t="shared" si="55"/>
        <v>0</v>
      </c>
      <c r="M297" s="8">
        <f t="shared" si="58"/>
        <v>0</v>
      </c>
      <c r="N297" s="8">
        <f t="shared" si="60"/>
        <v>0</v>
      </c>
      <c r="O297" s="7">
        <f t="shared" si="61"/>
        <v>0</v>
      </c>
      <c r="P297" s="6">
        <v>0</v>
      </c>
    </row>
  </sheetData>
  <mergeCells count="1">
    <mergeCell ref="B1:P1"/>
  </mergeCells>
  <phoneticPr fontId="1" type="noConversion"/>
  <pageMargins left="1.2480314970016479" right="1.2480314970016479" top="1" bottom="1" header="0.3" footer="0.3"/>
  <pageSetup paperSize="9"/>
</worksheet>
</file>

<file path=xl/worksheets/sheet4.xml><?xml version="1.0" encoding="utf-8"?>
<worksheet xmlns="http://schemas.openxmlformats.org/spreadsheetml/2006/main" xmlns:r="http://schemas.openxmlformats.org/officeDocument/2006/relationships">
  <dimension ref="A2:D17"/>
  <sheetViews>
    <sheetView workbookViewId="0">
      <selection activeCell="C17" sqref="C17"/>
    </sheetView>
  </sheetViews>
  <sheetFormatPr defaultRowHeight="13.5"/>
  <cols>
    <col min="3" max="3" width="40.5" customWidth="1"/>
  </cols>
  <sheetData>
    <row r="2" spans="1:4">
      <c r="A2" s="2">
        <v>1</v>
      </c>
      <c r="B2" s="2" t="s">
        <v>925</v>
      </c>
      <c r="C2" s="15" t="s">
        <v>76</v>
      </c>
      <c r="D2" s="2" t="s">
        <v>78</v>
      </c>
    </row>
    <row r="3" spans="1:4">
      <c r="A3" s="2">
        <v>2</v>
      </c>
      <c r="B3" s="2" t="s">
        <v>926</v>
      </c>
      <c r="C3" s="15" t="s">
        <v>933</v>
      </c>
      <c r="D3" s="2" t="s">
        <v>78</v>
      </c>
    </row>
    <row r="4" spans="1:4">
      <c r="A4" s="2">
        <v>3</v>
      </c>
      <c r="B4" s="2" t="s">
        <v>926</v>
      </c>
      <c r="C4" s="16" t="s">
        <v>14</v>
      </c>
      <c r="D4" s="2" t="s">
        <v>78</v>
      </c>
    </row>
    <row r="5" spans="1:4">
      <c r="A5" s="2">
        <v>4</v>
      </c>
      <c r="B5" s="2" t="s">
        <v>927</v>
      </c>
      <c r="C5" s="15" t="s">
        <v>934</v>
      </c>
      <c r="D5" s="2" t="s">
        <v>78</v>
      </c>
    </row>
    <row r="6" spans="1:4">
      <c r="A6" s="2">
        <v>5</v>
      </c>
      <c r="B6" s="2" t="s">
        <v>926</v>
      </c>
      <c r="C6" s="15" t="s">
        <v>928</v>
      </c>
      <c r="D6" s="2" t="s">
        <v>78</v>
      </c>
    </row>
    <row r="7" spans="1:4">
      <c r="A7" s="2">
        <v>6</v>
      </c>
      <c r="B7" s="2" t="s">
        <v>929</v>
      </c>
      <c r="C7" s="15" t="s">
        <v>935</v>
      </c>
      <c r="D7" s="2" t="s">
        <v>78</v>
      </c>
    </row>
    <row r="8" spans="1:4">
      <c r="A8" s="2">
        <v>7</v>
      </c>
      <c r="B8" s="2" t="s">
        <v>930</v>
      </c>
      <c r="C8" s="15" t="s">
        <v>936</v>
      </c>
      <c r="D8" s="2" t="s">
        <v>78</v>
      </c>
    </row>
    <row r="9" spans="1:4">
      <c r="A9" s="2">
        <v>8</v>
      </c>
      <c r="B9" s="2" t="s">
        <v>929</v>
      </c>
      <c r="C9" s="15" t="s">
        <v>937</v>
      </c>
      <c r="D9" s="2" t="s">
        <v>78</v>
      </c>
    </row>
    <row r="10" spans="1:4">
      <c r="A10" s="2">
        <v>9</v>
      </c>
      <c r="B10" s="2" t="s">
        <v>931</v>
      </c>
      <c r="C10" s="15" t="s">
        <v>938</v>
      </c>
      <c r="D10" s="2" t="s">
        <v>78</v>
      </c>
    </row>
    <row r="11" spans="1:4">
      <c r="A11" s="2">
        <v>10</v>
      </c>
      <c r="B11" s="2" t="s">
        <v>930</v>
      </c>
      <c r="C11" s="15" t="s">
        <v>939</v>
      </c>
      <c r="D11" s="2" t="s">
        <v>78</v>
      </c>
    </row>
    <row r="12" spans="1:4">
      <c r="A12" s="2">
        <v>11</v>
      </c>
      <c r="B12" s="2" t="s">
        <v>932</v>
      </c>
      <c r="C12" s="16" t="s">
        <v>0</v>
      </c>
      <c r="D12" s="2" t="s">
        <v>78</v>
      </c>
    </row>
    <row r="13" spans="1:4">
      <c r="A13" s="2">
        <v>12</v>
      </c>
      <c r="B13" s="2" t="s">
        <v>930</v>
      </c>
      <c r="C13" s="15" t="s">
        <v>940</v>
      </c>
      <c r="D13" s="2" t="s">
        <v>78</v>
      </c>
    </row>
    <row r="14" spans="1:4">
      <c r="A14" s="2">
        <v>13</v>
      </c>
      <c r="B14" s="2" t="s">
        <v>930</v>
      </c>
      <c r="C14" s="15" t="s">
        <v>941</v>
      </c>
      <c r="D14" s="2" t="s">
        <v>78</v>
      </c>
    </row>
    <row r="15" spans="1:4">
      <c r="A15" s="2">
        <v>14</v>
      </c>
      <c r="B15" s="2" t="s">
        <v>927</v>
      </c>
      <c r="C15" s="15" t="s">
        <v>942</v>
      </c>
      <c r="D15" s="2" t="s">
        <v>78</v>
      </c>
    </row>
    <row r="16" spans="1:4">
      <c r="A16" s="2">
        <v>15</v>
      </c>
      <c r="B16" s="2" t="s">
        <v>925</v>
      </c>
      <c r="C16" s="15" t="s">
        <v>943</v>
      </c>
      <c r="D16" s="2" t="s">
        <v>78</v>
      </c>
    </row>
    <row r="17" spans="1:4">
      <c r="A17" s="2">
        <v>16</v>
      </c>
      <c r="B17" s="2" t="s">
        <v>930</v>
      </c>
      <c r="C17" s="15" t="s">
        <v>944</v>
      </c>
      <c r="D17" s="2" t="s">
        <v>78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10吨以上</vt:lpstr>
      <vt:lpstr>100吨以上</vt:lpstr>
      <vt:lpstr>危废名单</vt:lpstr>
      <vt:lpstr>经营单位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2022-07-14T00:46:45Z</dcterms:modified>
</cp:coreProperties>
</file>